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840" windowHeight="12435" activeTab="3"/>
  </bookViews>
  <sheets>
    <sheet name="Orçamento Resumo" sheetId="3" r:id="rId1"/>
    <sheet name="Cronograma" sheetId="4" r:id="rId2"/>
    <sheet name="Orçamento Sintético" sheetId="2" r:id="rId3"/>
    <sheet name="Memória" sheetId="6" r:id="rId4"/>
  </sheets>
  <externalReferences>
    <externalReference r:id="rId5"/>
    <externalReference r:id="rId6"/>
    <externalReference r:id="rId7"/>
  </externalReferences>
  <definedNames>
    <definedName name="_xlnm._FilterDatabase" localSheetId="2" hidden="1">'Orçamento Sintético'!$A$7:$G$8</definedName>
    <definedName name="_xlnm.Print_Area" localSheetId="1">Cronograma!$A$1:$AF$38</definedName>
    <definedName name="_xlnm.Print_Area" localSheetId="3">Memória!$A$1:$J$1436</definedName>
    <definedName name="_xlnm.Print_Area" localSheetId="2">'Orçamento Sintético'!$A$1:$G$191</definedName>
    <definedName name="_xlnm.Print_Titles" localSheetId="1">Cronograma!$A:$B</definedName>
    <definedName name="_xlnm.Print_Titles" localSheetId="0">'Orçamento Resumo'!$8:$11</definedName>
    <definedName name="_xlnm.Print_Titles" localSheetId="2">'Orçamento Sintético'!$1:$8</definedName>
  </definedNames>
  <calcPr calcId="145621"/>
</workbook>
</file>

<file path=xl/calcChain.xml><?xml version="1.0" encoding="utf-8"?>
<calcChain xmlns="http://schemas.openxmlformats.org/spreadsheetml/2006/main">
  <c r="B57" i="2" l="1"/>
  <c r="C81" i="2"/>
  <c r="B78" i="2"/>
  <c r="C69" i="2"/>
  <c r="B69" i="2"/>
  <c r="B68" i="2"/>
  <c r="B66" i="2"/>
  <c r="B62" i="2"/>
  <c r="B54" i="2"/>
  <c r="C80" i="2"/>
  <c r="B81" i="2"/>
  <c r="B80" i="2"/>
  <c r="F936" i="6"/>
  <c r="F934" i="6" s="1"/>
  <c r="G80" i="2"/>
  <c r="B46" i="2"/>
  <c r="F701" i="6"/>
  <c r="E145" i="2"/>
  <c r="G145" i="2" s="1"/>
  <c r="E144" i="2"/>
  <c r="F138" i="2"/>
  <c r="G138" i="2" s="1"/>
  <c r="G129" i="2"/>
  <c r="G118" i="2"/>
  <c r="G119" i="2"/>
  <c r="C119" i="2"/>
  <c r="C118" i="2"/>
  <c r="B119" i="2"/>
  <c r="B118" i="2"/>
  <c r="F1147" i="6"/>
  <c r="F1145" i="6" s="1"/>
  <c r="F1141" i="6"/>
  <c r="F1139" i="6" s="1"/>
  <c r="G117" i="2"/>
  <c r="G120" i="2"/>
  <c r="G121" i="2"/>
  <c r="G122" i="2"/>
  <c r="G123" i="2"/>
  <c r="G124" i="2"/>
  <c r="G125" i="2"/>
  <c r="G126" i="2"/>
  <c r="G127" i="2"/>
  <c r="G128" i="2"/>
  <c r="G130" i="2"/>
  <c r="C116" i="2"/>
  <c r="C115" i="2"/>
  <c r="B115" i="2"/>
  <c r="B116" i="2"/>
  <c r="F1117" i="6"/>
  <c r="F1115" i="6"/>
  <c r="E115" i="2" s="1"/>
  <c r="G115" i="2" s="1"/>
  <c r="B86" i="2"/>
  <c r="C79" i="2"/>
  <c r="B60" i="2"/>
  <c r="C60" i="2"/>
  <c r="C76" i="2"/>
  <c r="B75" i="2"/>
  <c r="B76" i="2"/>
  <c r="B74" i="2"/>
  <c r="B73" i="2"/>
  <c r="B71" i="2"/>
  <c r="C74" i="2"/>
  <c r="B65" i="2"/>
  <c r="B64" i="2"/>
  <c r="C59" i="2"/>
  <c r="B59" i="2"/>
  <c r="F716" i="6"/>
  <c r="F715" i="6"/>
  <c r="F714" i="6"/>
  <c r="D188" i="2"/>
  <c r="C188" i="2"/>
  <c r="B188" i="2"/>
  <c r="F1429" i="6"/>
  <c r="F1427" i="6" s="1"/>
  <c r="F731" i="6"/>
  <c r="E62" i="2" s="1"/>
  <c r="G62" i="2" s="1"/>
  <c r="G61" i="2" s="1"/>
  <c r="C20" i="3" s="1"/>
  <c r="C20" i="4" s="1"/>
  <c r="B55" i="2"/>
  <c r="B51" i="2"/>
  <c r="B50" i="2"/>
  <c r="C52" i="2"/>
  <c r="B52" i="2"/>
  <c r="F675" i="6"/>
  <c r="F674" i="6"/>
  <c r="F673" i="6"/>
  <c r="F672" i="6"/>
  <c r="B47" i="2"/>
  <c r="C47" i="2"/>
  <c r="B40" i="2"/>
  <c r="B41" i="2"/>
  <c r="B29" i="2"/>
  <c r="C29" i="2"/>
  <c r="B85" i="2"/>
  <c r="B84" i="2"/>
  <c r="B83" i="2"/>
  <c r="B82" i="2"/>
  <c r="B79" i="2"/>
  <c r="B72" i="2"/>
  <c r="C71" i="2"/>
  <c r="C51" i="2"/>
  <c r="C12" i="2"/>
  <c r="F923" i="6"/>
  <c r="F922" i="6"/>
  <c r="B186" i="2"/>
  <c r="B187" i="2"/>
  <c r="C186" i="2"/>
  <c r="F628" i="6"/>
  <c r="F629" i="6"/>
  <c r="F630" i="6"/>
  <c r="F627" i="6"/>
  <c r="B31" i="2"/>
  <c r="C37" i="2"/>
  <c r="C36" i="2"/>
  <c r="B37" i="2"/>
  <c r="B36" i="2"/>
  <c r="C49" i="6"/>
  <c r="F49" i="6" s="1"/>
  <c r="C48" i="6"/>
  <c r="F48" i="6" s="1"/>
  <c r="C42" i="6"/>
  <c r="F42" i="6" s="1"/>
  <c r="C43" i="6"/>
  <c r="F43" i="6" s="1"/>
  <c r="C44" i="6"/>
  <c r="F44" i="6" s="1"/>
  <c r="C45" i="6"/>
  <c r="D45" i="6"/>
  <c r="C41" i="6"/>
  <c r="F41" i="6" s="1"/>
  <c r="B18" i="2"/>
  <c r="C18" i="2"/>
  <c r="F1159" i="6"/>
  <c r="F1157" i="6" s="1"/>
  <c r="F1153" i="6"/>
  <c r="F1151" i="6" s="1"/>
  <c r="F1123" i="6"/>
  <c r="F1121" i="6" s="1"/>
  <c r="E116" i="2" s="1"/>
  <c r="G116" i="2" s="1"/>
  <c r="F1129" i="6"/>
  <c r="F1127" i="6" s="1"/>
  <c r="F1135" i="6"/>
  <c r="F1133" i="6" s="1"/>
  <c r="C21" i="2"/>
  <c r="C20" i="2"/>
  <c r="B21" i="2"/>
  <c r="B20" i="2"/>
  <c r="F99" i="6"/>
  <c r="F98" i="6"/>
  <c r="E97" i="6"/>
  <c r="F97" i="6" s="1"/>
  <c r="F92" i="6" s="1"/>
  <c r="E18" i="2" s="1"/>
  <c r="G18" i="2" s="1"/>
  <c r="F96" i="6"/>
  <c r="F95" i="6"/>
  <c r="F94" i="6"/>
  <c r="C15" i="2"/>
  <c r="B15" i="2"/>
  <c r="F64" i="6"/>
  <c r="F62" i="6" s="1"/>
  <c r="E15" i="2" s="1"/>
  <c r="G15" i="2" s="1"/>
  <c r="C14" i="2"/>
  <c r="B14" i="2"/>
  <c r="C13" i="2"/>
  <c r="B13" i="2"/>
  <c r="C16" i="2"/>
  <c r="B19" i="3"/>
  <c r="B19" i="4" s="1"/>
  <c r="B16" i="2"/>
  <c r="B12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F171" i="2"/>
  <c r="G171" i="2" s="1"/>
  <c r="G170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88" i="2"/>
  <c r="B17" i="2"/>
  <c r="B10" i="2"/>
  <c r="B49" i="2"/>
  <c r="F641" i="6"/>
  <c r="B45" i="2"/>
  <c r="B44" i="2"/>
  <c r="B42" i="2"/>
  <c r="B39" i="2"/>
  <c r="B38" i="2"/>
  <c r="B32" i="2"/>
  <c r="B33" i="2"/>
  <c r="B34" i="2"/>
  <c r="B35" i="2"/>
  <c r="C35" i="2"/>
  <c r="C34" i="2"/>
  <c r="C33" i="2"/>
  <c r="C32" i="2"/>
  <c r="B22" i="2"/>
  <c r="B23" i="2"/>
  <c r="B24" i="2"/>
  <c r="B25" i="2"/>
  <c r="B26" i="2"/>
  <c r="B27" i="2"/>
  <c r="B28" i="2"/>
  <c r="C28" i="2"/>
  <c r="C27" i="2"/>
  <c r="C26" i="2"/>
  <c r="C25" i="2"/>
  <c r="C24" i="2"/>
  <c r="D257" i="6"/>
  <c r="D256" i="6"/>
  <c r="D254" i="6"/>
  <c r="D253" i="6"/>
  <c r="C168" i="2"/>
  <c r="C167" i="2"/>
  <c r="C165" i="2"/>
  <c r="C187" i="2"/>
  <c r="C185" i="2"/>
  <c r="F1391" i="6"/>
  <c r="F1288" i="6"/>
  <c r="F1287" i="6"/>
  <c r="F1286" i="6"/>
  <c r="E1285" i="6"/>
  <c r="F1285" i="6" s="1"/>
  <c r="E1284" i="6"/>
  <c r="F1284" i="6" s="1"/>
  <c r="F1283" i="6"/>
  <c r="E1282" i="6"/>
  <c r="F1282" i="6"/>
  <c r="E1281" i="6"/>
  <c r="F1281" i="6"/>
  <c r="F1280" i="6"/>
  <c r="E1279" i="6"/>
  <c r="F1279" i="6" s="1"/>
  <c r="F1255" i="6"/>
  <c r="F1254" i="6"/>
  <c r="F1253" i="6"/>
  <c r="E1252" i="6"/>
  <c r="F1252" i="6" s="1"/>
  <c r="E1251" i="6"/>
  <c r="F1251" i="6" s="1"/>
  <c r="F1250" i="6"/>
  <c r="E1249" i="6"/>
  <c r="F1249" i="6" s="1"/>
  <c r="E1248" i="6"/>
  <c r="F1248" i="6" s="1"/>
  <c r="F1247" i="6"/>
  <c r="E1246" i="6"/>
  <c r="F1246" i="6" s="1"/>
  <c r="F1273" i="6"/>
  <c r="F1272" i="6"/>
  <c r="F1271" i="6"/>
  <c r="F1270" i="6"/>
  <c r="F1264" i="6"/>
  <c r="F1263" i="6"/>
  <c r="F1262" i="6"/>
  <c r="F1261" i="6"/>
  <c r="C133" i="2"/>
  <c r="C132" i="2"/>
  <c r="C86" i="2"/>
  <c r="C85" i="2"/>
  <c r="B28" i="3"/>
  <c r="B28" i="4" s="1"/>
  <c r="C84" i="2"/>
  <c r="C83" i="2"/>
  <c r="C82" i="2"/>
  <c r="C78" i="2"/>
  <c r="C75" i="2"/>
  <c r="C73" i="2"/>
  <c r="C72" i="2"/>
  <c r="C68" i="2"/>
  <c r="C66" i="2"/>
  <c r="C65" i="2"/>
  <c r="C64" i="2"/>
  <c r="C62" i="2"/>
  <c r="C58" i="2"/>
  <c r="C57" i="2"/>
  <c r="C55" i="2"/>
  <c r="C54" i="2"/>
  <c r="C50" i="2"/>
  <c r="C49" i="2"/>
  <c r="C46" i="2"/>
  <c r="C45" i="2"/>
  <c r="C44" i="2"/>
  <c r="C42" i="2"/>
  <c r="C41" i="2"/>
  <c r="C40" i="2"/>
  <c r="C39" i="2"/>
  <c r="C38" i="2"/>
  <c r="C31" i="2"/>
  <c r="C23" i="2"/>
  <c r="C22" i="2"/>
  <c r="C17" i="2"/>
  <c r="C10" i="2"/>
  <c r="F1379" i="6"/>
  <c r="F1385" i="6"/>
  <c r="F1217" i="6"/>
  <c r="F1215" i="6" s="1"/>
  <c r="E132" i="2" s="1"/>
  <c r="G132" i="2" s="1"/>
  <c r="F1201" i="6"/>
  <c r="F1199" i="6" s="1"/>
  <c r="F1031" i="6"/>
  <c r="F1029" i="6" s="1"/>
  <c r="F1025" i="6"/>
  <c r="F1023" i="6" s="1"/>
  <c r="F1013" i="6"/>
  <c r="F1011" i="6" s="1"/>
  <c r="F1001" i="6"/>
  <c r="F999" i="6" s="1"/>
  <c r="F769" i="6"/>
  <c r="F770" i="6"/>
  <c r="F771" i="6"/>
  <c r="F768" i="6"/>
  <c r="F666" i="6"/>
  <c r="F665" i="6"/>
  <c r="F664" i="6"/>
  <c r="F663" i="6"/>
  <c r="F853" i="6"/>
  <c r="F852" i="6"/>
  <c r="F828" i="6"/>
  <c r="F640" i="6"/>
  <c r="F621" i="6"/>
  <c r="F619" i="6" s="1"/>
  <c r="E46" i="2" s="1"/>
  <c r="G46" i="2" s="1"/>
  <c r="F323" i="6"/>
  <c r="D228" i="6"/>
  <c r="F228" i="6" s="1"/>
  <c r="H153" i="6"/>
  <c r="D70" i="6" s="1"/>
  <c r="H154" i="6"/>
  <c r="H155" i="6"/>
  <c r="D72" i="6" s="1"/>
  <c r="H156" i="6"/>
  <c r="D73" i="6"/>
  <c r="H157" i="6"/>
  <c r="D74" i="6"/>
  <c r="H158" i="6"/>
  <c r="D75" i="6"/>
  <c r="H159" i="6"/>
  <c r="D76" i="6"/>
  <c r="H160" i="6"/>
  <c r="D77" i="6" s="1"/>
  <c r="F163" i="6"/>
  <c r="F164" i="6"/>
  <c r="F165" i="6"/>
  <c r="F166" i="6"/>
  <c r="F167" i="6"/>
  <c r="F168" i="6"/>
  <c r="F169" i="6"/>
  <c r="F170" i="6"/>
  <c r="D171" i="6"/>
  <c r="F171" i="6" s="1"/>
  <c r="F172" i="6"/>
  <c r="F173" i="6"/>
  <c r="F176" i="6"/>
  <c r="F177" i="6"/>
  <c r="F1433" i="6"/>
  <c r="E188" i="2" s="1"/>
  <c r="G188" i="2" s="1"/>
  <c r="F968" i="6"/>
  <c r="F969" i="6"/>
  <c r="F970" i="6"/>
  <c r="F971" i="6"/>
  <c r="F967" i="6"/>
  <c r="F957" i="6"/>
  <c r="F958" i="6"/>
  <c r="F959" i="6"/>
  <c r="F960" i="6"/>
  <c r="F961" i="6"/>
  <c r="F956" i="6"/>
  <c r="F1410" i="6"/>
  <c r="F1408" i="6"/>
  <c r="E185" i="2" s="1"/>
  <c r="G185" i="2" s="1"/>
  <c r="F1345" i="6"/>
  <c r="F1343" i="6"/>
  <c r="F1339" i="6"/>
  <c r="F1337" i="6"/>
  <c r="F1333" i="6"/>
  <c r="F1331" i="6"/>
  <c r="F1224" i="6"/>
  <c r="F749" i="6"/>
  <c r="F747" i="6" s="1"/>
  <c r="E65" i="2" s="1"/>
  <c r="G65" i="2" s="1"/>
  <c r="F1171" i="6"/>
  <c r="F1169" i="6"/>
  <c r="F1165" i="6"/>
  <c r="F1163" i="6"/>
  <c r="F691" i="6"/>
  <c r="F689" i="6"/>
  <c r="E55" i="2" s="1"/>
  <c r="G55" i="2" s="1"/>
  <c r="F1375" i="6"/>
  <c r="F1373" i="6" s="1"/>
  <c r="F1369" i="6"/>
  <c r="F1367" i="6" s="1"/>
  <c r="F1363" i="6"/>
  <c r="F1361" i="6" s="1"/>
  <c r="F1357" i="6"/>
  <c r="F1355" i="6" s="1"/>
  <c r="F1351" i="6"/>
  <c r="F1349" i="6" s="1"/>
  <c r="F1327" i="6"/>
  <c r="F1325" i="6" s="1"/>
  <c r="F1321" i="6"/>
  <c r="F1319" i="6" s="1"/>
  <c r="F1315" i="6"/>
  <c r="F1313" i="6" s="1"/>
  <c r="F1423" i="6"/>
  <c r="F1420" i="6" s="1"/>
  <c r="E187" i="2" s="1"/>
  <c r="G187" i="2" s="1"/>
  <c r="F702" i="6"/>
  <c r="F699" i="6" s="1"/>
  <c r="E57" i="2" s="1"/>
  <c r="G57" i="2" s="1"/>
  <c r="G56" i="2" s="1"/>
  <c r="C19" i="3" s="1"/>
  <c r="F685" i="6"/>
  <c r="F683" i="6" s="1"/>
  <c r="E54" i="2" s="1"/>
  <c r="G54" i="2" s="1"/>
  <c r="F1189" i="6"/>
  <c r="F1187" i="6" s="1"/>
  <c r="F1183" i="6"/>
  <c r="F1181" i="6" s="1"/>
  <c r="F756" i="6"/>
  <c r="F757" i="6"/>
  <c r="F755" i="6"/>
  <c r="F708" i="6"/>
  <c r="F706" i="6"/>
  <c r="E58" i="2" s="1"/>
  <c r="G58" i="2" s="1"/>
  <c r="F1195" i="6"/>
  <c r="F1193" i="6"/>
  <c r="D985" i="6"/>
  <c r="F985" i="6"/>
  <c r="D984" i="6"/>
  <c r="F984" i="6"/>
  <c r="F978" i="6"/>
  <c r="F977" i="6"/>
  <c r="F943" i="6"/>
  <c r="F941" i="6"/>
  <c r="E81" i="2" s="1"/>
  <c r="G81" i="2" s="1"/>
  <c r="F929" i="6"/>
  <c r="F927" i="6"/>
  <c r="E79" i="2" s="1"/>
  <c r="G79" i="2" s="1"/>
  <c r="F948" i="6"/>
  <c r="E82" i="2"/>
  <c r="G82" i="2" s="1"/>
  <c r="D779" i="6"/>
  <c r="F779" i="6"/>
  <c r="D778" i="6"/>
  <c r="F778" i="6"/>
  <c r="D777" i="6"/>
  <c r="F777" i="6"/>
  <c r="F743" i="6"/>
  <c r="F741" i="6"/>
  <c r="G64" i="2"/>
  <c r="F1207" i="6"/>
  <c r="F1205" i="6" s="1"/>
  <c r="F1177" i="6"/>
  <c r="F1175" i="6" s="1"/>
  <c r="F1019" i="6"/>
  <c r="F1017" i="6" s="1"/>
  <c r="F912" i="6"/>
  <c r="F911" i="6"/>
  <c r="F910" i="6"/>
  <c r="F909" i="6"/>
  <c r="F902" i="6"/>
  <c r="F901" i="6"/>
  <c r="E900" i="6"/>
  <c r="F900" i="6" s="1"/>
  <c r="F899" i="6"/>
  <c r="E898" i="6"/>
  <c r="F898" i="6"/>
  <c r="F897" i="6"/>
  <c r="D896" i="6"/>
  <c r="F896" i="6" s="1"/>
  <c r="E895" i="6"/>
  <c r="F895" i="6" s="1"/>
  <c r="F894" i="6"/>
  <c r="F893" i="6"/>
  <c r="F876" i="6"/>
  <c r="F875" i="6"/>
  <c r="E874" i="6"/>
  <c r="F874" i="6" s="1"/>
  <c r="F873" i="6"/>
  <c r="E872" i="6"/>
  <c r="F872" i="6" s="1"/>
  <c r="F871" i="6"/>
  <c r="D870" i="6"/>
  <c r="F870" i="6" s="1"/>
  <c r="E869" i="6"/>
  <c r="F869" i="6" s="1"/>
  <c r="F868" i="6"/>
  <c r="F867" i="6"/>
  <c r="F723" i="6"/>
  <c r="F722" i="6"/>
  <c r="F1232" i="6"/>
  <c r="F1416" i="6"/>
  <c r="F1414" i="6" s="1"/>
  <c r="E186" i="2" s="1"/>
  <c r="G186" i="2" s="1"/>
  <c r="F1295" i="6"/>
  <c r="F1296" i="6"/>
  <c r="F1297" i="6"/>
  <c r="F1298" i="6"/>
  <c r="F1299" i="6"/>
  <c r="F1294" i="6"/>
  <c r="F1007" i="6"/>
  <c r="F1005" i="6" s="1"/>
  <c r="F995" i="6"/>
  <c r="F993" i="6" s="1"/>
  <c r="F890" i="6"/>
  <c r="F889" i="6"/>
  <c r="F888" i="6"/>
  <c r="F887" i="6"/>
  <c r="D886" i="6"/>
  <c r="F886" i="6" s="1"/>
  <c r="E885" i="6"/>
  <c r="F885" i="6" s="1"/>
  <c r="F884" i="6"/>
  <c r="F883" i="6"/>
  <c r="F864" i="6"/>
  <c r="F863" i="6"/>
  <c r="F862" i="6"/>
  <c r="F861" i="6"/>
  <c r="D860" i="6"/>
  <c r="F860" i="6" s="1"/>
  <c r="E859" i="6"/>
  <c r="F859" i="6" s="1"/>
  <c r="F858" i="6"/>
  <c r="F857" i="6"/>
  <c r="F844" i="6"/>
  <c r="F843" i="6"/>
  <c r="F842" i="6"/>
  <c r="E841" i="6"/>
  <c r="F841" i="6" s="1"/>
  <c r="E840" i="6"/>
  <c r="F840" i="6" s="1"/>
  <c r="F839" i="6"/>
  <c r="E838" i="6"/>
  <c r="F838" i="6"/>
  <c r="E837" i="6"/>
  <c r="F837" i="6"/>
  <c r="F836" i="6"/>
  <c r="E835" i="6"/>
  <c r="F835" i="6" s="1"/>
  <c r="F833" i="6" s="1"/>
  <c r="E73" i="2" s="1"/>
  <c r="G73" i="2" s="1"/>
  <c r="E815" i="6"/>
  <c r="F815" i="6" s="1"/>
  <c r="D816" i="6"/>
  <c r="F816" i="6" s="1"/>
  <c r="F820" i="6"/>
  <c r="F819" i="6"/>
  <c r="F818" i="6"/>
  <c r="F817" i="6"/>
  <c r="F814" i="6"/>
  <c r="F813" i="6"/>
  <c r="F802" i="6"/>
  <c r="F805" i="6"/>
  <c r="F808" i="6"/>
  <c r="F809" i="6"/>
  <c r="F810" i="6"/>
  <c r="E807" i="6"/>
  <c r="F807" i="6" s="1"/>
  <c r="E806" i="6"/>
  <c r="F806" i="6" s="1"/>
  <c r="E804" i="6"/>
  <c r="F804" i="6" s="1"/>
  <c r="E803" i="6"/>
  <c r="F803" i="6" s="1"/>
  <c r="E801" i="6"/>
  <c r="F801" i="6" s="1"/>
  <c r="F1307" i="6"/>
  <c r="F580" i="6"/>
  <c r="F581" i="6"/>
  <c r="F583" i="6"/>
  <c r="F584" i="6"/>
  <c r="D582" i="6"/>
  <c r="F582" i="6"/>
  <c r="D579" i="6"/>
  <c r="F579" i="6"/>
  <c r="F854" i="6"/>
  <c r="F851" i="6"/>
  <c r="F827" i="6"/>
  <c r="F829" i="6"/>
  <c r="F826" i="6"/>
  <c r="F791" i="6"/>
  <c r="F793" i="6"/>
  <c r="F794" i="6"/>
  <c r="F795" i="6"/>
  <c r="F796" i="6"/>
  <c r="F797" i="6"/>
  <c r="F798" i="6"/>
  <c r="F790" i="6"/>
  <c r="E792" i="6"/>
  <c r="F792" i="6" s="1"/>
  <c r="J798" i="6" s="1"/>
  <c r="F606" i="6"/>
  <c r="E45" i="2" s="1"/>
  <c r="G45" i="2" s="1"/>
  <c r="F595" i="6"/>
  <c r="F597" i="6"/>
  <c r="F598" i="6"/>
  <c r="F599" i="6"/>
  <c r="F600" i="6"/>
  <c r="F601" i="6"/>
  <c r="F602" i="6"/>
  <c r="F594" i="6"/>
  <c r="E596" i="6"/>
  <c r="F596" i="6" s="1"/>
  <c r="F532" i="6"/>
  <c r="F530" i="6"/>
  <c r="F524" i="6"/>
  <c r="F523" i="6"/>
  <c r="F522" i="6"/>
  <c r="F521" i="6"/>
  <c r="F520" i="6"/>
  <c r="F519" i="6"/>
  <c r="F518" i="6"/>
  <c r="F517" i="6"/>
  <c r="F412" i="6"/>
  <c r="G412" i="6" s="1"/>
  <c r="F413" i="6"/>
  <c r="F434" i="6" s="1"/>
  <c r="G434" i="6" s="1"/>
  <c r="G448" i="6" s="1"/>
  <c r="F446" i="6" s="1"/>
  <c r="E33" i="2" s="1"/>
  <c r="G33" i="2" s="1"/>
  <c r="F414" i="6"/>
  <c r="G414" i="6" s="1"/>
  <c r="F415" i="6"/>
  <c r="G415" i="6" s="1"/>
  <c r="F416" i="6"/>
  <c r="G416" i="6" s="1"/>
  <c r="F417" i="6"/>
  <c r="G417" i="6" s="1"/>
  <c r="F418" i="6"/>
  <c r="G418" i="6" s="1"/>
  <c r="F419" i="6"/>
  <c r="G419" i="6" s="1"/>
  <c r="F420" i="6"/>
  <c r="G420" i="6" s="1"/>
  <c r="F421" i="6"/>
  <c r="G421" i="6" s="1"/>
  <c r="F422" i="6"/>
  <c r="G422" i="6" s="1"/>
  <c r="F423" i="6"/>
  <c r="G423" i="6" s="1"/>
  <c r="F424" i="6"/>
  <c r="G424" i="6" s="1"/>
  <c r="F425" i="6"/>
  <c r="G425" i="6" s="1"/>
  <c r="F426" i="6"/>
  <c r="G426" i="6" s="1"/>
  <c r="F427" i="6"/>
  <c r="F428" i="6"/>
  <c r="G428" i="6" s="1"/>
  <c r="F429" i="6"/>
  <c r="G429" i="6" s="1"/>
  <c r="F411" i="6"/>
  <c r="G411" i="6" s="1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27" i="6"/>
  <c r="F326" i="6"/>
  <c r="F657" i="6"/>
  <c r="F656" i="6"/>
  <c r="F655" i="6"/>
  <c r="F654" i="6"/>
  <c r="F653" i="6"/>
  <c r="F652" i="6"/>
  <c r="F651" i="6"/>
  <c r="F650" i="6"/>
  <c r="F649" i="6"/>
  <c r="F648" i="6"/>
  <c r="F647" i="6"/>
  <c r="F539" i="6"/>
  <c r="F540" i="6"/>
  <c r="F538" i="6"/>
  <c r="E573" i="6"/>
  <c r="H573" i="6" s="1"/>
  <c r="E572" i="6"/>
  <c r="H572" i="6" s="1"/>
  <c r="F569" i="6"/>
  <c r="H569" i="6" s="1"/>
  <c r="F568" i="6"/>
  <c r="H568" i="6" s="1"/>
  <c r="F567" i="6"/>
  <c r="H567" i="6" s="1"/>
  <c r="F566" i="6"/>
  <c r="H566" i="6" s="1"/>
  <c r="E559" i="6"/>
  <c r="H559" i="6" s="1"/>
  <c r="F563" i="6"/>
  <c r="H563" i="6" s="1"/>
  <c r="F562" i="6"/>
  <c r="H562" i="6" s="1"/>
  <c r="F554" i="6"/>
  <c r="H554" i="6" s="1"/>
  <c r="F555" i="6"/>
  <c r="H555" i="6" s="1"/>
  <c r="F556" i="6"/>
  <c r="H556" i="6" s="1"/>
  <c r="F553" i="6"/>
  <c r="H553" i="6" s="1"/>
  <c r="F548" i="6"/>
  <c r="H548" i="6" s="1"/>
  <c r="F549" i="6"/>
  <c r="H549" i="6" s="1"/>
  <c r="F550" i="6"/>
  <c r="H550" i="6" s="1"/>
  <c r="F547" i="6"/>
  <c r="H547" i="6" s="1"/>
  <c r="F544" i="6" s="1"/>
  <c r="E41" i="2" s="1"/>
  <c r="G41" i="2" s="1"/>
  <c r="F294" i="6"/>
  <c r="F295" i="6"/>
  <c r="F296" i="6"/>
  <c r="F297" i="6"/>
  <c r="F298" i="6"/>
  <c r="F299" i="6"/>
  <c r="F300" i="6"/>
  <c r="F293" i="6"/>
  <c r="F247" i="6"/>
  <c r="G247" i="6" s="1"/>
  <c r="F248" i="6"/>
  <c r="G248" i="6" s="1"/>
  <c r="F249" i="6"/>
  <c r="G249" i="6" s="1"/>
  <c r="F246" i="6"/>
  <c r="G246" i="6" s="1"/>
  <c r="F133" i="6"/>
  <c r="F132" i="6"/>
  <c r="F195" i="6"/>
  <c r="F194" i="6"/>
  <c r="F84" i="6"/>
  <c r="F85" i="6"/>
  <c r="E86" i="6"/>
  <c r="F86" i="6" s="1"/>
  <c r="F83" i="6"/>
  <c r="F34" i="6"/>
  <c r="F33" i="6"/>
  <c r="F514" i="6"/>
  <c r="F513" i="6"/>
  <c r="F510" i="6"/>
  <c r="F509" i="6"/>
  <c r="F508" i="6"/>
  <c r="F507" i="6"/>
  <c r="F506" i="6"/>
  <c r="F505" i="6"/>
  <c r="F504" i="6"/>
  <c r="F503" i="6"/>
  <c r="F500" i="6"/>
  <c r="F499" i="6"/>
  <c r="F498" i="6"/>
  <c r="F497" i="6"/>
  <c r="F496" i="6"/>
  <c r="F495" i="6"/>
  <c r="F494" i="6"/>
  <c r="F493" i="6"/>
  <c r="F490" i="6" s="1"/>
  <c r="E38" i="2" s="1"/>
  <c r="G38" i="2" s="1"/>
  <c r="F467" i="6"/>
  <c r="G467" i="6" s="1"/>
  <c r="F474" i="6"/>
  <c r="G474" i="6"/>
  <c r="F473" i="6"/>
  <c r="G473" i="6"/>
  <c r="F472" i="6"/>
  <c r="G472" i="6"/>
  <c r="F471" i="6"/>
  <c r="G471" i="6"/>
  <c r="F470" i="6"/>
  <c r="G470" i="6"/>
  <c r="F469" i="6"/>
  <c r="G469" i="6"/>
  <c r="F468" i="6"/>
  <c r="G468" i="6"/>
  <c r="F385" i="6"/>
  <c r="G385" i="6"/>
  <c r="F386" i="6"/>
  <c r="G386" i="6"/>
  <c r="F387" i="6"/>
  <c r="G387" i="6"/>
  <c r="F388" i="6"/>
  <c r="G388" i="6"/>
  <c r="F389" i="6"/>
  <c r="G389" i="6"/>
  <c r="F390" i="6"/>
  <c r="G390" i="6"/>
  <c r="F391" i="6"/>
  <c r="G391" i="6"/>
  <c r="F392" i="6"/>
  <c r="G392" i="6"/>
  <c r="F393" i="6"/>
  <c r="G393" i="6"/>
  <c r="F394" i="6"/>
  <c r="G394" i="6"/>
  <c r="F395" i="6"/>
  <c r="G395" i="6"/>
  <c r="F396" i="6"/>
  <c r="G396" i="6"/>
  <c r="F397" i="6"/>
  <c r="G397" i="6"/>
  <c r="F398" i="6"/>
  <c r="G398" i="6"/>
  <c r="F399" i="6"/>
  <c r="G399" i="6"/>
  <c r="F400" i="6"/>
  <c r="G400" i="6"/>
  <c r="F401" i="6"/>
  <c r="G401" i="6"/>
  <c r="F402" i="6"/>
  <c r="G402" i="6"/>
  <c r="F403" i="6"/>
  <c r="G403" i="6"/>
  <c r="F404" i="6"/>
  <c r="G404" i="6"/>
  <c r="F405" i="6"/>
  <c r="G405" i="6"/>
  <c r="F406" i="6"/>
  <c r="G406" i="6"/>
  <c r="F407" i="6"/>
  <c r="G407" i="6"/>
  <c r="F384" i="6"/>
  <c r="G384" i="6"/>
  <c r="F381" i="6"/>
  <c r="G381" i="6"/>
  <c r="F380" i="6"/>
  <c r="G380" i="6"/>
  <c r="F379" i="6"/>
  <c r="G379" i="6"/>
  <c r="F378" i="6"/>
  <c r="G378" i="6"/>
  <c r="F377" i="6"/>
  <c r="G377" i="6"/>
  <c r="F376" i="6"/>
  <c r="G376" i="6"/>
  <c r="F375" i="6"/>
  <c r="G375" i="6"/>
  <c r="F374" i="6"/>
  <c r="G374" i="6"/>
  <c r="F373" i="6"/>
  <c r="G373" i="6"/>
  <c r="F372" i="6"/>
  <c r="G372" i="6"/>
  <c r="F371" i="6"/>
  <c r="G371" i="6"/>
  <c r="F370" i="6"/>
  <c r="G370" i="6"/>
  <c r="F369" i="6"/>
  <c r="G369" i="6"/>
  <c r="F368" i="6"/>
  <c r="G368" i="6"/>
  <c r="F367" i="6"/>
  <c r="G367" i="6"/>
  <c r="F366" i="6"/>
  <c r="G366" i="6"/>
  <c r="F146" i="6"/>
  <c r="F145" i="6"/>
  <c r="F144" i="6"/>
  <c r="F143" i="6"/>
  <c r="F142" i="6"/>
  <c r="F141" i="6"/>
  <c r="F140" i="6"/>
  <c r="F139" i="6"/>
  <c r="F312" i="6"/>
  <c r="F313" i="6"/>
  <c r="F314" i="6"/>
  <c r="F315" i="6"/>
  <c r="F316" i="6"/>
  <c r="F317" i="6"/>
  <c r="F318" i="6"/>
  <c r="F311" i="6"/>
  <c r="F120" i="6"/>
  <c r="F121" i="6"/>
  <c r="F122" i="6"/>
  <c r="F123" i="6"/>
  <c r="F124" i="6"/>
  <c r="F125" i="6"/>
  <c r="F126" i="6"/>
  <c r="F128" i="6"/>
  <c r="F129" i="6"/>
  <c r="F119" i="6"/>
  <c r="D127" i="6"/>
  <c r="F127" i="6"/>
  <c r="E71" i="6"/>
  <c r="E72" i="6"/>
  <c r="E73" i="6"/>
  <c r="E74" i="6"/>
  <c r="E75" i="6"/>
  <c r="E76" i="6"/>
  <c r="E77" i="6"/>
  <c r="E70" i="6"/>
  <c r="C71" i="6"/>
  <c r="C72" i="6"/>
  <c r="C73" i="6"/>
  <c r="C74" i="6"/>
  <c r="C75" i="6"/>
  <c r="C76" i="6"/>
  <c r="C77" i="6"/>
  <c r="C70" i="6"/>
  <c r="B71" i="6"/>
  <c r="B72" i="6"/>
  <c r="F72" i="6" s="1"/>
  <c r="B73" i="6"/>
  <c r="F73" i="6"/>
  <c r="B74" i="6"/>
  <c r="F74" i="6"/>
  <c r="B75" i="6"/>
  <c r="F75" i="6"/>
  <c r="B76" i="6"/>
  <c r="B77" i="6"/>
  <c r="F77" i="6" s="1"/>
  <c r="B70" i="6"/>
  <c r="F358" i="6"/>
  <c r="G358" i="6" s="1"/>
  <c r="F359" i="6"/>
  <c r="G359" i="6" s="1"/>
  <c r="F360" i="6"/>
  <c r="G360" i="6" s="1"/>
  <c r="F361" i="6"/>
  <c r="G361" i="6" s="1"/>
  <c r="F362" i="6"/>
  <c r="G362" i="6" s="1"/>
  <c r="F363" i="6"/>
  <c r="G363" i="6" s="1"/>
  <c r="F349" i="6"/>
  <c r="G349" i="6" s="1"/>
  <c r="F350" i="6"/>
  <c r="G350" i="6" s="1"/>
  <c r="F351" i="6"/>
  <c r="G351" i="6" s="1"/>
  <c r="F352" i="6"/>
  <c r="F353" i="6"/>
  <c r="G353" i="6" s="1"/>
  <c r="F354" i="6"/>
  <c r="G354" i="6" s="1"/>
  <c r="F355" i="6"/>
  <c r="G355" i="6" s="1"/>
  <c r="F356" i="6"/>
  <c r="G356" i="6" s="1"/>
  <c r="F357" i="6"/>
  <c r="G357" i="6" s="1"/>
  <c r="F348" i="6"/>
  <c r="F117" i="6"/>
  <c r="F116" i="6"/>
  <c r="F115" i="6"/>
  <c r="F114" i="6"/>
  <c r="F113" i="6"/>
  <c r="F112" i="6"/>
  <c r="F111" i="6"/>
  <c r="F110" i="6"/>
  <c r="F107" i="6" s="1"/>
  <c r="E20" i="2" s="1"/>
  <c r="G20" i="2" s="1"/>
  <c r="F321" i="6"/>
  <c r="F185" i="6"/>
  <c r="F186" i="6"/>
  <c r="F187" i="6"/>
  <c r="F188" i="6"/>
  <c r="F189" i="6"/>
  <c r="F190" i="6"/>
  <c r="F191" i="6"/>
  <c r="F184" i="6"/>
  <c r="F238" i="6"/>
  <c r="G238" i="6" s="1"/>
  <c r="F237" i="6"/>
  <c r="G237" i="6" s="1"/>
  <c r="F236" i="6"/>
  <c r="G236" i="6" s="1"/>
  <c r="F235" i="6"/>
  <c r="G235" i="6" s="1"/>
  <c r="F234" i="6"/>
  <c r="G234" i="6" s="1"/>
  <c r="F244" i="6"/>
  <c r="G244" i="6" s="1"/>
  <c r="F243" i="6"/>
  <c r="G243" i="6" s="1"/>
  <c r="F242" i="6"/>
  <c r="G242" i="6" s="1"/>
  <c r="F241" i="6"/>
  <c r="G241" i="6" s="1"/>
  <c r="F240" i="6"/>
  <c r="G240" i="6" s="1"/>
  <c r="F239" i="6"/>
  <c r="G239" i="6" s="1"/>
  <c r="F233" i="6"/>
  <c r="G233" i="6" s="1"/>
  <c r="F232" i="6"/>
  <c r="G232" i="6" s="1"/>
  <c r="F231" i="6"/>
  <c r="G231" i="6" s="1"/>
  <c r="F229" i="6"/>
  <c r="G229" i="6" s="1"/>
  <c r="F230" i="6"/>
  <c r="G230" i="6" s="1"/>
  <c r="F202" i="6"/>
  <c r="G202" i="6" s="1"/>
  <c r="F203" i="6"/>
  <c r="F204" i="6"/>
  <c r="G204" i="6" s="1"/>
  <c r="F205" i="6"/>
  <c r="G205" i="6" s="1"/>
  <c r="F206" i="6"/>
  <c r="G206" i="6" s="1"/>
  <c r="F207" i="6"/>
  <c r="G207" i="6" s="1"/>
  <c r="F208" i="6"/>
  <c r="G208" i="6"/>
  <c r="F209" i="6"/>
  <c r="G209" i="6"/>
  <c r="F210" i="6"/>
  <c r="G210" i="6"/>
  <c r="F211" i="6"/>
  <c r="G211" i="6"/>
  <c r="F212" i="6"/>
  <c r="G212" i="6"/>
  <c r="F213" i="6"/>
  <c r="G213" i="6"/>
  <c r="F214" i="6"/>
  <c r="G214" i="6"/>
  <c r="F215" i="6"/>
  <c r="G215" i="6"/>
  <c r="F216" i="6"/>
  <c r="G216" i="6"/>
  <c r="F217" i="6"/>
  <c r="G217" i="6"/>
  <c r="F218" i="6"/>
  <c r="G218" i="6"/>
  <c r="F219" i="6"/>
  <c r="G219" i="6"/>
  <c r="F220" i="6"/>
  <c r="G220" i="6"/>
  <c r="F221" i="6"/>
  <c r="G221" i="6"/>
  <c r="F222" i="6"/>
  <c r="G222" i="6"/>
  <c r="F223" i="6"/>
  <c r="G223" i="6"/>
  <c r="F224" i="6"/>
  <c r="G224" i="6"/>
  <c r="F225" i="6"/>
  <c r="G225" i="6"/>
  <c r="F226" i="6"/>
  <c r="G226" i="6"/>
  <c r="F227" i="6"/>
  <c r="G227" i="6"/>
  <c r="F201" i="6"/>
  <c r="G201" i="6"/>
  <c r="F87" i="6"/>
  <c r="F58" i="6"/>
  <c r="F56" i="6" s="1"/>
  <c r="E14" i="2" s="1"/>
  <c r="G14" i="2" s="1"/>
  <c r="F88" i="6"/>
  <c r="D30" i="6"/>
  <c r="F30" i="6" s="1"/>
  <c r="F23" i="6" s="1"/>
  <c r="E16" i="2" s="1"/>
  <c r="G16" i="2" s="1"/>
  <c r="F27" i="6"/>
  <c r="F28" i="6"/>
  <c r="F29" i="6"/>
  <c r="F26" i="6"/>
  <c r="F15" i="6"/>
  <c r="F13" i="6" s="1"/>
  <c r="E10" i="2" s="1"/>
  <c r="G10" i="2" s="1"/>
  <c r="G9" i="2" s="1"/>
  <c r="C12" i="3" s="1"/>
  <c r="G146" i="2"/>
  <c r="G147" i="2"/>
  <c r="G148" i="2"/>
  <c r="G149" i="2"/>
  <c r="G150" i="2"/>
  <c r="AG13" i="4"/>
  <c r="AG14" i="4"/>
  <c r="AG15" i="4"/>
  <c r="AG16" i="4"/>
  <c r="AG17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AG31" i="4"/>
  <c r="AG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B12" i="4"/>
  <c r="A12" i="4"/>
  <c r="B13" i="3"/>
  <c r="B13" i="4" s="1"/>
  <c r="G136" i="2"/>
  <c r="G137" i="2"/>
  <c r="G139" i="2"/>
  <c r="G140" i="2"/>
  <c r="G141" i="2"/>
  <c r="G142" i="2"/>
  <c r="G143" i="2"/>
  <c r="G144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35" i="2"/>
  <c r="B14" i="3"/>
  <c r="B14" i="4" s="1"/>
  <c r="B15" i="3"/>
  <c r="B15" i="4" s="1"/>
  <c r="B16" i="3"/>
  <c r="B16" i="4" s="1"/>
  <c r="B17" i="3"/>
  <c r="B17" i="4" s="1"/>
  <c r="B18" i="3"/>
  <c r="B18" i="4" s="1"/>
  <c r="B20" i="3"/>
  <c r="B20" i="4" s="1"/>
  <c r="B21" i="3"/>
  <c r="B21" i="4" s="1"/>
  <c r="B22" i="3"/>
  <c r="B22" i="4" s="1"/>
  <c r="B23" i="3"/>
  <c r="B23" i="4" s="1"/>
  <c r="B24" i="3"/>
  <c r="B24" i="4" s="1"/>
  <c r="B25" i="3"/>
  <c r="B25" i="4" s="1"/>
  <c r="B26" i="3"/>
  <c r="B26" i="4" s="1"/>
  <c r="B27" i="3"/>
  <c r="B27" i="4" s="1"/>
  <c r="B29" i="3"/>
  <c r="B29" i="4" s="1"/>
  <c r="B30" i="3"/>
  <c r="B30" i="4" s="1"/>
  <c r="B31" i="3"/>
  <c r="B31" i="4" s="1"/>
  <c r="B34" i="3"/>
  <c r="B33" i="3"/>
  <c r="A9" i="3"/>
  <c r="A8" i="4" s="1"/>
  <c r="G413" i="6"/>
  <c r="F45" i="6"/>
  <c r="F528" i="6"/>
  <c r="E39" i="2" s="1"/>
  <c r="G39" i="2" s="1"/>
  <c r="F1222" i="6"/>
  <c r="E133" i="2"/>
  <c r="G133" i="2" s="1"/>
  <c r="F712" i="6"/>
  <c r="E59" i="2"/>
  <c r="G59" i="2" s="1"/>
  <c r="F720" i="6"/>
  <c r="E60" i="2" s="1"/>
  <c r="G60" i="2" s="1"/>
  <c r="F661" i="6"/>
  <c r="E51" i="2" s="1"/>
  <c r="G51" i="2" s="1"/>
  <c r="F670" i="6"/>
  <c r="E52" i="2"/>
  <c r="G52" i="2" s="1"/>
  <c r="F975" i="6"/>
  <c r="E85" i="2" s="1"/>
  <c r="G85" i="2" s="1"/>
  <c r="F291" i="6"/>
  <c r="E29" i="2" s="1"/>
  <c r="G29" i="2" s="1"/>
  <c r="F775" i="6"/>
  <c r="E69" i="2"/>
  <c r="G69" i="2" s="1"/>
  <c r="F638" i="6"/>
  <c r="E49" i="2" s="1"/>
  <c r="G49" i="2" s="1"/>
  <c r="F1259" i="6"/>
  <c r="E165" i="2" s="1"/>
  <c r="G165" i="2" s="1"/>
  <c r="F536" i="6"/>
  <c r="E40" i="2"/>
  <c r="G40" i="2" s="1"/>
  <c r="F1292" i="6"/>
  <c r="E168" i="2"/>
  <c r="G168" i="2" s="1"/>
  <c r="F906" i="6"/>
  <c r="E76" i="2"/>
  <c r="G76" i="2" s="1"/>
  <c r="F257" i="6"/>
  <c r="G257" i="6" s="1"/>
  <c r="G287" i="6" s="1"/>
  <c r="F285" i="6" s="1"/>
  <c r="E28" i="2" s="1"/>
  <c r="G28" i="2" s="1"/>
  <c r="F137" i="6"/>
  <c r="E21" i="2" s="1"/>
  <c r="G21" i="2" s="1"/>
  <c r="F645" i="6"/>
  <c r="E50" i="2" s="1"/>
  <c r="G50" i="2" s="1"/>
  <c r="F1268" i="6"/>
  <c r="E166" i="2" s="1"/>
  <c r="G166" i="2" s="1"/>
  <c r="F920" i="6"/>
  <c r="E78" i="2" s="1"/>
  <c r="G78" i="2" s="1"/>
  <c r="F256" i="6"/>
  <c r="G256" i="6" s="1"/>
  <c r="G281" i="6" s="1"/>
  <c r="F279" i="6" s="1"/>
  <c r="E27" i="2" s="1"/>
  <c r="G27" i="2" s="1"/>
  <c r="J524" i="6"/>
  <c r="F824" i="6"/>
  <c r="E72" i="2" s="1"/>
  <c r="G72" i="2" s="1"/>
  <c r="F625" i="6"/>
  <c r="E47" i="2" s="1"/>
  <c r="G47" i="2" s="1"/>
  <c r="D255" i="6"/>
  <c r="F982" i="6"/>
  <c r="E86" i="2" s="1"/>
  <c r="G86" i="2" s="1"/>
  <c r="F753" i="6"/>
  <c r="E66" i="2" s="1"/>
  <c r="G66" i="2" s="1"/>
  <c r="F965" i="6"/>
  <c r="E84" i="2" s="1"/>
  <c r="G84" i="2" s="1"/>
  <c r="F766" i="6"/>
  <c r="E68" i="2" s="1"/>
  <c r="G68" i="2" s="1"/>
  <c r="G67" i="2" s="1"/>
  <c r="C22" i="3" s="1"/>
  <c r="F254" i="6"/>
  <c r="G254" i="6" s="1"/>
  <c r="G269" i="6" s="1"/>
  <c r="F267" i="6" s="1"/>
  <c r="E25" i="2" s="1"/>
  <c r="G25" i="2" s="1"/>
  <c r="G348" i="6"/>
  <c r="F577" i="6"/>
  <c r="E42" i="2" s="1"/>
  <c r="G42" i="2" s="1"/>
  <c r="F954" i="6"/>
  <c r="E83" i="2" s="1"/>
  <c r="G83" i="2" s="1"/>
  <c r="D71" i="6"/>
  <c r="F71" i="6" s="1"/>
  <c r="G87" i="2"/>
  <c r="C25" i="3" s="1"/>
  <c r="C25" i="4" s="1"/>
  <c r="G352" i="6"/>
  <c r="F436" i="6"/>
  <c r="G436" i="6" s="1"/>
  <c r="G460" i="6" s="1"/>
  <c r="F458" i="6" s="1"/>
  <c r="E35" i="2" s="1"/>
  <c r="G35" i="2" s="1"/>
  <c r="G480" i="6"/>
  <c r="F478" i="6" s="1"/>
  <c r="E36" i="2" s="1"/>
  <c r="G36" i="2" s="1"/>
  <c r="J363" i="6"/>
  <c r="G427" i="6"/>
  <c r="F435" i="6"/>
  <c r="G435" i="6" s="1"/>
  <c r="G454" i="6" s="1"/>
  <c r="F452" i="6" s="1"/>
  <c r="E34" i="2" s="1"/>
  <c r="G34" i="2" s="1"/>
  <c r="G203" i="6"/>
  <c r="F253" i="6"/>
  <c r="G253" i="6"/>
  <c r="G263" i="6" s="1"/>
  <c r="F261" i="6" s="1"/>
  <c r="E24" i="2" s="1"/>
  <c r="G24" i="2" s="1"/>
  <c r="F433" i="6"/>
  <c r="G433" i="6" s="1"/>
  <c r="F38" i="6" l="1"/>
  <c r="E13" i="2" s="1"/>
  <c r="G13" i="2" s="1"/>
  <c r="F592" i="6"/>
  <c r="E44" i="2" s="1"/>
  <c r="G44" i="2" s="1"/>
  <c r="J602" i="6"/>
  <c r="F181" i="6"/>
  <c r="E23" i="2" s="1"/>
  <c r="G23" i="2" s="1"/>
  <c r="F308" i="6"/>
  <c r="E31" i="2" s="1"/>
  <c r="G31" i="2" s="1"/>
  <c r="F70" i="6"/>
  <c r="F76" i="6"/>
  <c r="F81" i="6"/>
  <c r="E17" i="2" s="1"/>
  <c r="G17" i="2" s="1"/>
  <c r="F848" i="6"/>
  <c r="E74" i="2" s="1"/>
  <c r="G74" i="2" s="1"/>
  <c r="J864" i="6"/>
  <c r="F880" i="6"/>
  <c r="E75" i="2" s="1"/>
  <c r="G75" i="2" s="1"/>
  <c r="J876" i="6"/>
  <c r="F150" i="6"/>
  <c r="E22" i="2" s="1"/>
  <c r="G22" i="2" s="1"/>
  <c r="F1244" i="6"/>
  <c r="E164" i="2" s="1"/>
  <c r="G164" i="2" s="1"/>
  <c r="F1277" i="6"/>
  <c r="E167" i="2" s="1"/>
  <c r="G167" i="2" s="1"/>
  <c r="G169" i="2"/>
  <c r="C30" i="3" s="1"/>
  <c r="G134" i="2"/>
  <c r="C28" i="3" s="1"/>
  <c r="C28" i="4" s="1"/>
  <c r="G442" i="6"/>
  <c r="F440" i="6" s="1"/>
  <c r="E32" i="2" s="1"/>
  <c r="G32" i="2" s="1"/>
  <c r="J436" i="6"/>
  <c r="G486" i="6"/>
  <c r="F484" i="6" s="1"/>
  <c r="E37" i="2" s="1"/>
  <c r="G37" i="2" s="1"/>
  <c r="F464" i="6"/>
  <c r="F345" i="6"/>
  <c r="K363" i="6" s="1"/>
  <c r="G48" i="2"/>
  <c r="C17" i="3" s="1"/>
  <c r="G30" i="2"/>
  <c r="C15" i="3" s="1"/>
  <c r="F68" i="6"/>
  <c r="E12" i="2" s="1"/>
  <c r="G12" i="2" s="1"/>
  <c r="J429" i="6"/>
  <c r="G43" i="2"/>
  <c r="C16" i="3" s="1"/>
  <c r="C16" i="4" s="1"/>
  <c r="E16" i="4" s="1"/>
  <c r="F16" i="4" s="1"/>
  <c r="F787" i="6"/>
  <c r="E71" i="2" s="1"/>
  <c r="G71" i="2" s="1"/>
  <c r="G70" i="2" s="1"/>
  <c r="C23" i="3" s="1"/>
  <c r="J810" i="6"/>
  <c r="J820" i="6"/>
  <c r="J902" i="6"/>
  <c r="G53" i="2"/>
  <c r="C18" i="3" s="1"/>
  <c r="G228" i="6"/>
  <c r="F199" i="6" s="1"/>
  <c r="F255" i="6"/>
  <c r="G255" i="6" s="1"/>
  <c r="G275" i="6" s="1"/>
  <c r="F273" i="6" s="1"/>
  <c r="E26" i="2" s="1"/>
  <c r="G26" i="2" s="1"/>
  <c r="G19" i="2" s="1"/>
  <c r="C14" i="3" s="1"/>
  <c r="E30" i="3"/>
  <c r="F30" i="3" s="1"/>
  <c r="C30" i="4"/>
  <c r="E20" i="4"/>
  <c r="F20" i="4" s="1"/>
  <c r="G63" i="2"/>
  <c r="C21" i="3" s="1"/>
  <c r="C21" i="4" s="1"/>
  <c r="E21" i="4" s="1"/>
  <c r="G184" i="2"/>
  <c r="C31" i="3" s="1"/>
  <c r="G114" i="2"/>
  <c r="C26" i="3" s="1"/>
  <c r="C26" i="4" s="1"/>
  <c r="E17" i="3"/>
  <c r="F17" i="3" s="1"/>
  <c r="C17" i="4"/>
  <c r="E15" i="3"/>
  <c r="F15" i="3"/>
  <c r="E19" i="3"/>
  <c r="C19" i="4"/>
  <c r="E28" i="4"/>
  <c r="F28" i="4" s="1"/>
  <c r="F28" i="3"/>
  <c r="E28" i="3"/>
  <c r="E22" i="3"/>
  <c r="F22" i="3" s="1"/>
  <c r="C22" i="4"/>
  <c r="E26" i="3"/>
  <c r="F26" i="3" s="1"/>
  <c r="C15" i="4"/>
  <c r="F19" i="3"/>
  <c r="E18" i="3"/>
  <c r="F18" i="3" s="1"/>
  <c r="C18" i="4"/>
  <c r="E31" i="3"/>
  <c r="F31" i="3" s="1"/>
  <c r="C31" i="4"/>
  <c r="E25" i="4"/>
  <c r="F25" i="4" s="1"/>
  <c r="E30" i="4"/>
  <c r="F30" i="4" s="1"/>
  <c r="E23" i="3"/>
  <c r="F23" i="3" s="1"/>
  <c r="C23" i="4"/>
  <c r="E12" i="3"/>
  <c r="C12" i="4"/>
  <c r="E20" i="3"/>
  <c r="F20" i="3"/>
  <c r="G77" i="2"/>
  <c r="C24" i="3" s="1"/>
  <c r="G11" i="2"/>
  <c r="G131" i="2"/>
  <c r="C27" i="3" s="1"/>
  <c r="G163" i="2"/>
  <c r="C29" i="3" s="1"/>
  <c r="E25" i="3"/>
  <c r="F25" i="3" s="1"/>
  <c r="E14" i="3" l="1"/>
  <c r="C14" i="4"/>
  <c r="F14" i="3"/>
  <c r="Z20" i="4"/>
  <c r="J20" i="4"/>
  <c r="AD20" i="4"/>
  <c r="AB20" i="4"/>
  <c r="X20" i="4"/>
  <c r="R20" i="4"/>
  <c r="AF20" i="4"/>
  <c r="N20" i="4"/>
  <c r="T20" i="4"/>
  <c r="P20" i="4"/>
  <c r="V20" i="4"/>
  <c r="L20" i="4"/>
  <c r="H20" i="4"/>
  <c r="E21" i="3"/>
  <c r="F21" i="3" s="1"/>
  <c r="E16" i="3"/>
  <c r="F16" i="3" s="1"/>
  <c r="F21" i="4"/>
  <c r="AF25" i="4"/>
  <c r="T25" i="4"/>
  <c r="X25" i="4"/>
  <c r="Z25" i="4"/>
  <c r="R25" i="4"/>
  <c r="L25" i="4"/>
  <c r="AD25" i="4"/>
  <c r="J25" i="4"/>
  <c r="AB25" i="4"/>
  <c r="N25" i="4"/>
  <c r="H25" i="4"/>
  <c r="V25" i="4"/>
  <c r="P25" i="4"/>
  <c r="H28" i="4"/>
  <c r="AD28" i="4"/>
  <c r="X28" i="4"/>
  <c r="J28" i="4"/>
  <c r="Z28" i="4"/>
  <c r="R28" i="4"/>
  <c r="T28" i="4"/>
  <c r="AF28" i="4"/>
  <c r="L28" i="4"/>
  <c r="V28" i="4"/>
  <c r="P28" i="4"/>
  <c r="N28" i="4"/>
  <c r="AB28" i="4"/>
  <c r="N30" i="4"/>
  <c r="AB30" i="4"/>
  <c r="R30" i="4"/>
  <c r="V30" i="4"/>
  <c r="L30" i="4"/>
  <c r="AD30" i="4"/>
  <c r="P30" i="4"/>
  <c r="T30" i="4"/>
  <c r="AF30" i="4"/>
  <c r="X30" i="4"/>
  <c r="Z30" i="4"/>
  <c r="J30" i="4"/>
  <c r="H30" i="4"/>
  <c r="E29" i="3"/>
  <c r="F29" i="3" s="1"/>
  <c r="C29" i="4"/>
  <c r="E27" i="3"/>
  <c r="F27" i="3" s="1"/>
  <c r="C27" i="4"/>
  <c r="E24" i="3"/>
  <c r="F24" i="3" s="1"/>
  <c r="C24" i="4"/>
  <c r="E23" i="4"/>
  <c r="F23" i="4" s="1"/>
  <c r="E31" i="4"/>
  <c r="F31" i="4" s="1"/>
  <c r="E18" i="4"/>
  <c r="F18" i="4" s="1"/>
  <c r="L21" i="4"/>
  <c r="N21" i="4"/>
  <c r="X21" i="4"/>
  <c r="P21" i="4"/>
  <c r="V21" i="4"/>
  <c r="T21" i="4"/>
  <c r="H21" i="4"/>
  <c r="AF21" i="4"/>
  <c r="Z21" i="4"/>
  <c r="AD21" i="4"/>
  <c r="AB21" i="4"/>
  <c r="J21" i="4"/>
  <c r="R21" i="4"/>
  <c r="E22" i="4"/>
  <c r="F22" i="4" s="1"/>
  <c r="G189" i="2"/>
  <c r="C13" i="3"/>
  <c r="F12" i="4"/>
  <c r="E12" i="4"/>
  <c r="E15" i="4"/>
  <c r="F15" i="4" s="1"/>
  <c r="E26" i="4"/>
  <c r="F26" i="4" s="1"/>
  <c r="E19" i="4"/>
  <c r="F19" i="4" s="1"/>
  <c r="AB16" i="4"/>
  <c r="J16" i="4"/>
  <c r="P16" i="4"/>
  <c r="T16" i="4"/>
  <c r="R16" i="4"/>
  <c r="Z16" i="4"/>
  <c r="L16" i="4"/>
  <c r="N16" i="4"/>
  <c r="AF16" i="4"/>
  <c r="X16" i="4"/>
  <c r="AD16" i="4"/>
  <c r="H16" i="4"/>
  <c r="V16" i="4"/>
  <c r="E17" i="4"/>
  <c r="F17" i="4" s="1"/>
  <c r="E14" i="4"/>
  <c r="F14" i="4" s="1"/>
  <c r="F12" i="3"/>
  <c r="T14" i="4" l="1"/>
  <c r="R14" i="4"/>
  <c r="P14" i="4"/>
  <c r="N14" i="4"/>
  <c r="AB14" i="4"/>
  <c r="J14" i="4"/>
  <c r="X14" i="4"/>
  <c r="Z14" i="4"/>
  <c r="H14" i="4"/>
  <c r="AF14" i="4"/>
  <c r="L14" i="4"/>
  <c r="V14" i="4"/>
  <c r="AD14" i="4"/>
  <c r="AF17" i="4"/>
  <c r="AB17" i="4"/>
  <c r="T17" i="4"/>
  <c r="P17" i="4"/>
  <c r="N17" i="4"/>
  <c r="V17" i="4"/>
  <c r="J17" i="4"/>
  <c r="H17" i="4"/>
  <c r="X17" i="4"/>
  <c r="AD17" i="4"/>
  <c r="L17" i="4"/>
  <c r="R17" i="4"/>
  <c r="Z17" i="4"/>
  <c r="Z22" i="4"/>
  <c r="AB22" i="4"/>
  <c r="L22" i="4"/>
  <c r="X22" i="4"/>
  <c r="J22" i="4"/>
  <c r="P22" i="4"/>
  <c r="AF22" i="4"/>
  <c r="V22" i="4"/>
  <c r="AD22" i="4"/>
  <c r="R22" i="4"/>
  <c r="T22" i="4"/>
  <c r="H22" i="4"/>
  <c r="N22" i="4"/>
  <c r="N31" i="4"/>
  <c r="R31" i="4"/>
  <c r="V31" i="4"/>
  <c r="P31" i="4"/>
  <c r="AD31" i="4"/>
  <c r="H31" i="4"/>
  <c r="X31" i="4"/>
  <c r="L31" i="4"/>
  <c r="T31" i="4"/>
  <c r="AF31" i="4"/>
  <c r="Z31" i="4"/>
  <c r="J31" i="4"/>
  <c r="AB31" i="4"/>
  <c r="J23" i="4"/>
  <c r="P23" i="4"/>
  <c r="AF23" i="4"/>
  <c r="AD23" i="4"/>
  <c r="N23" i="4"/>
  <c r="L23" i="4"/>
  <c r="X23" i="4"/>
  <c r="Z23" i="4"/>
  <c r="R23" i="4"/>
  <c r="T23" i="4"/>
  <c r="H23" i="4"/>
  <c r="V23" i="4"/>
  <c r="AB23" i="4"/>
  <c r="L19" i="4"/>
  <c r="AB19" i="4"/>
  <c r="AF19" i="4"/>
  <c r="X19" i="4"/>
  <c r="R19" i="4"/>
  <c r="V19" i="4"/>
  <c r="Z19" i="4"/>
  <c r="J19" i="4"/>
  <c r="T19" i="4"/>
  <c r="AD19" i="4"/>
  <c r="H19" i="4"/>
  <c r="N19" i="4"/>
  <c r="P19" i="4"/>
  <c r="X26" i="4"/>
  <c r="V26" i="4"/>
  <c r="T26" i="4"/>
  <c r="L26" i="4"/>
  <c r="AF26" i="4"/>
  <c r="AD26" i="4"/>
  <c r="AB26" i="4"/>
  <c r="Z26" i="4"/>
  <c r="J26" i="4"/>
  <c r="N26" i="4"/>
  <c r="H26" i="4"/>
  <c r="R26" i="4"/>
  <c r="P26" i="4"/>
  <c r="T15" i="4"/>
  <c r="AB15" i="4"/>
  <c r="X15" i="4"/>
  <c r="AF15" i="4"/>
  <c r="N15" i="4"/>
  <c r="R15" i="4"/>
  <c r="AD15" i="4"/>
  <c r="P15" i="4"/>
  <c r="L15" i="4"/>
  <c r="J15" i="4"/>
  <c r="H15" i="4"/>
  <c r="Z15" i="4"/>
  <c r="V15" i="4"/>
  <c r="AF12" i="4"/>
  <c r="N12" i="4"/>
  <c r="J12" i="4"/>
  <c r="R12" i="4"/>
  <c r="V12" i="4"/>
  <c r="AD12" i="4"/>
  <c r="Z12" i="4"/>
  <c r="H12" i="4"/>
  <c r="X12" i="4"/>
  <c r="P12" i="4"/>
  <c r="T12" i="4"/>
  <c r="L12" i="4"/>
  <c r="AB12" i="4"/>
  <c r="E13" i="3"/>
  <c r="E32" i="3" s="1"/>
  <c r="C32" i="3"/>
  <c r="C13" i="4"/>
  <c r="X18" i="4"/>
  <c r="T18" i="4"/>
  <c r="J18" i="4"/>
  <c r="AB18" i="4"/>
  <c r="R18" i="4"/>
  <c r="AF18" i="4"/>
  <c r="V18" i="4"/>
  <c r="N18" i="4"/>
  <c r="L18" i="4"/>
  <c r="Z18" i="4"/>
  <c r="AD18" i="4"/>
  <c r="H18" i="4"/>
  <c r="P18" i="4"/>
  <c r="E24" i="4"/>
  <c r="F24" i="4" s="1"/>
  <c r="E27" i="4"/>
  <c r="F27" i="4" s="1"/>
  <c r="E29" i="4"/>
  <c r="F29" i="4" s="1"/>
  <c r="G190" i="2"/>
  <c r="G191" i="2" s="1"/>
  <c r="F13" i="3" l="1"/>
  <c r="F32" i="3" s="1"/>
  <c r="P29" i="4"/>
  <c r="AF29" i="4"/>
  <c r="H29" i="4"/>
  <c r="Z29" i="4"/>
  <c r="R29" i="4"/>
  <c r="V29" i="4"/>
  <c r="AD29" i="4"/>
  <c r="X29" i="4"/>
  <c r="L29" i="4"/>
  <c r="AB29" i="4"/>
  <c r="T29" i="4"/>
  <c r="J29" i="4"/>
  <c r="N29" i="4"/>
  <c r="L24" i="4"/>
  <c r="J24" i="4"/>
  <c r="R24" i="4"/>
  <c r="H24" i="4"/>
  <c r="AD24" i="4"/>
  <c r="AB24" i="4"/>
  <c r="P24" i="4"/>
  <c r="T24" i="4"/>
  <c r="N24" i="4"/>
  <c r="V24" i="4"/>
  <c r="X24" i="4"/>
  <c r="AF24" i="4"/>
  <c r="Z24" i="4"/>
  <c r="E13" i="4"/>
  <c r="E32" i="4" s="1"/>
  <c r="C32" i="4"/>
  <c r="Z27" i="4"/>
  <c r="V27" i="4"/>
  <c r="J27" i="4"/>
  <c r="P27" i="4"/>
  <c r="AF27" i="4"/>
  <c r="H27" i="4"/>
  <c r="T27" i="4"/>
  <c r="R27" i="4"/>
  <c r="AD27" i="4"/>
  <c r="N27" i="4"/>
  <c r="X27" i="4"/>
  <c r="L27" i="4"/>
  <c r="AB27" i="4"/>
  <c r="C33" i="3"/>
  <c r="D32" i="3"/>
  <c r="D31" i="3"/>
  <c r="D31" i="4" s="1"/>
  <c r="D20" i="3"/>
  <c r="D20" i="4" s="1"/>
  <c r="D30" i="3"/>
  <c r="D30" i="4" s="1"/>
  <c r="D25" i="3"/>
  <c r="D25" i="4" s="1"/>
  <c r="D12" i="3"/>
  <c r="D12" i="4" s="1"/>
  <c r="D28" i="3"/>
  <c r="D28" i="4" s="1"/>
  <c r="C34" i="3"/>
  <c r="D15" i="3"/>
  <c r="D15" i="4" s="1"/>
  <c r="D14" i="3"/>
  <c r="D14" i="4" s="1"/>
  <c r="D22" i="3"/>
  <c r="D22" i="4" s="1"/>
  <c r="D18" i="3"/>
  <c r="D18" i="4" s="1"/>
  <c r="D21" i="3"/>
  <c r="D21" i="4" s="1"/>
  <c r="D23" i="3"/>
  <c r="D23" i="4" s="1"/>
  <c r="D17" i="3"/>
  <c r="D17" i="4" s="1"/>
  <c r="D19" i="3"/>
  <c r="D19" i="4" s="1"/>
  <c r="D26" i="3"/>
  <c r="D26" i="4" s="1"/>
  <c r="D16" i="3"/>
  <c r="D16" i="4" s="1"/>
  <c r="D29" i="3"/>
  <c r="D29" i="4" s="1"/>
  <c r="D27" i="3"/>
  <c r="D27" i="4" s="1"/>
  <c r="D24" i="3"/>
  <c r="D24" i="4" s="1"/>
  <c r="D13" i="3"/>
  <c r="D13" i="4" s="1"/>
  <c r="F13" i="4" l="1"/>
  <c r="H13" i="4" s="1"/>
  <c r="H32" i="4" s="1"/>
  <c r="J13" i="4"/>
  <c r="J32" i="4" s="1"/>
  <c r="AB13" i="4"/>
  <c r="AB32" i="4" s="1"/>
  <c r="AF13" i="4"/>
  <c r="AF32" i="4" s="1"/>
  <c r="P13" i="4"/>
  <c r="P32" i="4" s="1"/>
  <c r="X13" i="4"/>
  <c r="X32" i="4" s="1"/>
  <c r="T13" i="4"/>
  <c r="T32" i="4" s="1"/>
  <c r="AD13" i="4"/>
  <c r="AD32" i="4" s="1"/>
  <c r="V13" i="4"/>
  <c r="V32" i="4" s="1"/>
  <c r="F32" i="4"/>
  <c r="D32" i="4"/>
  <c r="Z13" i="4" l="1"/>
  <c r="Z32" i="4" s="1"/>
  <c r="L13" i="4"/>
  <c r="L32" i="4" s="1"/>
  <c r="N13" i="4"/>
  <c r="N32" i="4" s="1"/>
  <c r="R13" i="4"/>
  <c r="R32" i="4" s="1"/>
  <c r="U32" i="4"/>
  <c r="S32" i="4"/>
  <c r="O32" i="4"/>
  <c r="AA32" i="4"/>
  <c r="N33" i="4"/>
  <c r="P33" i="4" s="1"/>
  <c r="R33" i="4" s="1"/>
  <c r="T33" i="4" s="1"/>
  <c r="V33" i="4" s="1"/>
  <c r="X33" i="4" s="1"/>
  <c r="Z33" i="4" s="1"/>
  <c r="AB33" i="4" s="1"/>
  <c r="AD33" i="4" s="1"/>
  <c r="AF33" i="4" s="1"/>
  <c r="M32" i="4"/>
  <c r="M33" i="4" s="1"/>
  <c r="Q32" i="4"/>
  <c r="G32" i="4"/>
  <c r="G33" i="4" s="1"/>
  <c r="H33" i="4"/>
  <c r="AC32" i="4"/>
  <c r="W32" i="4"/>
  <c r="AE32" i="4"/>
  <c r="Y32" i="4"/>
  <c r="I32" i="4"/>
  <c r="I33" i="4" s="1"/>
  <c r="J33" i="4"/>
  <c r="K32" i="4"/>
  <c r="K33" i="4" s="1"/>
  <c r="L33" i="4"/>
  <c r="S33" i="4" l="1"/>
  <c r="U33" i="4"/>
  <c r="O33" i="4"/>
  <c r="Q33" i="4" s="1"/>
  <c r="W33" i="4" s="1"/>
  <c r="Y33" i="4" s="1"/>
  <c r="AA33" i="4" s="1"/>
  <c r="AC33" i="4" s="1"/>
  <c r="AE33" i="4" s="1"/>
</calcChain>
</file>

<file path=xl/sharedStrings.xml><?xml version="1.0" encoding="utf-8"?>
<sst xmlns="http://schemas.openxmlformats.org/spreadsheetml/2006/main" count="3039" uniqueCount="741">
  <si>
    <t>ITEM</t>
  </si>
  <si>
    <t>DISCRIMINAÇÃO</t>
  </si>
  <si>
    <t>1.1</t>
  </si>
  <si>
    <t>ALVENARIA E VEDAÇÕES</t>
  </si>
  <si>
    <t>PAVIMENTAÇÃO</t>
  </si>
  <si>
    <t>PINTURA</t>
  </si>
  <si>
    <t>VIDROS</t>
  </si>
  <si>
    <t>BANCADAS, LOUÇAS, METAIS E ACESSÓRIOS</t>
  </si>
  <si>
    <t>QUANT</t>
  </si>
  <si>
    <t>REFERÊNCIA</t>
  </si>
  <si>
    <t>m²</t>
  </si>
  <si>
    <t>unid</t>
  </si>
  <si>
    <t>m</t>
  </si>
  <si>
    <t>REVESTIMENTO</t>
  </si>
  <si>
    <t>3.1</t>
  </si>
  <si>
    <t>4.1</t>
  </si>
  <si>
    <t>5.1</t>
  </si>
  <si>
    <t>7.1</t>
  </si>
  <si>
    <t>8.1</t>
  </si>
  <si>
    <t>9.1</t>
  </si>
  <si>
    <t>12.1</t>
  </si>
  <si>
    <t>14.1</t>
  </si>
  <si>
    <t>V.TOTAL(R$)</t>
  </si>
  <si>
    <t>TOTAL PARCIAL</t>
  </si>
  <si>
    <t>TOTAL GERAL</t>
  </si>
  <si>
    <t>SERVIÇOS COMPLEMENTARES</t>
  </si>
  <si>
    <t>V.PARCIAL(R$)</t>
  </si>
  <si>
    <t>%</t>
  </si>
  <si>
    <t>V.TOTAL(R$)           c/ BDI</t>
  </si>
  <si>
    <t>30 Dias</t>
  </si>
  <si>
    <t>Valor(R$)</t>
  </si>
  <si>
    <t xml:space="preserve">TOTAL </t>
  </si>
  <si>
    <t>TOTAL ACUMULADO</t>
  </si>
  <si>
    <t>60 Dias</t>
  </si>
  <si>
    <t>90 Dias</t>
  </si>
  <si>
    <t>120 Dias</t>
  </si>
  <si>
    <t>150 Dias</t>
  </si>
  <si>
    <t>CRONOGRAMA FÍSICO-FINANCEIRO</t>
  </si>
  <si>
    <t>12.2</t>
  </si>
  <si>
    <t>14.2</t>
  </si>
  <si>
    <t>6.1</t>
  </si>
  <si>
    <t>INSTALAÇÕES HIDRO-SANITÁRIAS</t>
  </si>
  <si>
    <t>ESQUADRIAS METÁLICA</t>
  </si>
  <si>
    <t>ESQUADRIAS DE MADEIRA</t>
  </si>
  <si>
    <t>FORROS</t>
  </si>
  <si>
    <t>INSTALAÇÃO DE COMBATE A INCÊNDIO E PÂNICO</t>
  </si>
  <si>
    <t>17.1</t>
  </si>
  <si>
    <t>GUIA DE CABOS VERTICAL</t>
  </si>
  <si>
    <t>18.1</t>
  </si>
  <si>
    <t xml:space="preserve">INSTALAÇÕES ELÉTRICAS </t>
  </si>
  <si>
    <t>CABEAMENTO ESTRUTURADO E TELEFÔNICO</t>
  </si>
  <si>
    <t>6.2</t>
  </si>
  <si>
    <t>11.1</t>
  </si>
  <si>
    <t>13.1</t>
  </si>
  <si>
    <t>18.2</t>
  </si>
  <si>
    <t>18.3</t>
  </si>
  <si>
    <t>18.4</t>
  </si>
  <si>
    <t>19.1</t>
  </si>
  <si>
    <t>m³</t>
  </si>
  <si>
    <t>IMPERMEABILIZAÇÕES</t>
  </si>
  <si>
    <t>20.1</t>
  </si>
  <si>
    <t>19.2</t>
  </si>
  <si>
    <t>19.3</t>
  </si>
  <si>
    <t>5.2</t>
  </si>
  <si>
    <t>TOTAL ITEM (R$)</t>
  </si>
  <si>
    <t>COBERTURA E PROTEÇÕES</t>
  </si>
  <si>
    <t>kg</t>
  </si>
  <si>
    <t>15.13</t>
  </si>
  <si>
    <t>14.3</t>
  </si>
  <si>
    <t>14.4</t>
  </si>
  <si>
    <t>13.2</t>
  </si>
  <si>
    <t>13.3</t>
  </si>
  <si>
    <t>4.2</t>
  </si>
  <si>
    <t>3.2</t>
  </si>
  <si>
    <t>3.4</t>
  </si>
  <si>
    <t>3.5</t>
  </si>
  <si>
    <t>2.4</t>
  </si>
  <si>
    <t>180 Dias</t>
  </si>
  <si>
    <t>210 Dias</t>
  </si>
  <si>
    <t>PERFIL DE MONTAGEM</t>
  </si>
  <si>
    <t>SERVICO EM TERRA</t>
  </si>
  <si>
    <t/>
  </si>
  <si>
    <t>FUNDACOES E SONDAGENS</t>
  </si>
  <si>
    <t>ESTRUTURA</t>
  </si>
  <si>
    <t>13.4</t>
  </si>
  <si>
    <t>13.5</t>
  </si>
  <si>
    <t>19.4</t>
  </si>
  <si>
    <t>10.2</t>
  </si>
  <si>
    <t>4.3</t>
  </si>
  <si>
    <t>4.4</t>
  </si>
  <si>
    <t>19.5</t>
  </si>
  <si>
    <t>240 Dias</t>
  </si>
  <si>
    <t>270 Dias</t>
  </si>
  <si>
    <t>300 Dias</t>
  </si>
  <si>
    <t>13.6</t>
  </si>
  <si>
    <t>13.7</t>
  </si>
  <si>
    <t>7.2</t>
  </si>
  <si>
    <t>SERVICO PRELIMINARES</t>
  </si>
  <si>
    <t>2.1</t>
  </si>
  <si>
    <t>2.2</t>
  </si>
  <si>
    <t>ARMACAO ACO CA-50/60 -FORNECIMENTO/ CORTE(PERDA DE 10%) / DOBRA / COLOCAÇÃO</t>
  </si>
  <si>
    <t xml:space="preserve">FORRO DE GESSO LISO, INCLUSIVE  FIXAÇÃO DE FIO DE COBRE </t>
  </si>
  <si>
    <t>TUBO PVC ESGOTO PREDIAL DN 100MM, INCLUSIVE CONEXOES - FORNECIMENTO E INSTALACAO</t>
  </si>
  <si>
    <t>JOELHO 90 GRAUS SOLDAVEL E COM BUCHA DE LATÃO  25mm X 1/2"</t>
  </si>
  <si>
    <t>4.5</t>
  </si>
  <si>
    <t>4.6</t>
  </si>
  <si>
    <t>4.7</t>
  </si>
  <si>
    <t>5.3</t>
  </si>
  <si>
    <t>8.2</t>
  </si>
  <si>
    <t>8.3</t>
  </si>
  <si>
    <t>10.1</t>
  </si>
  <si>
    <t>11.2</t>
  </si>
  <si>
    <t>18.5</t>
  </si>
  <si>
    <t>20.2</t>
  </si>
  <si>
    <t>KIT DE VELCRO</t>
  </si>
  <si>
    <t>FUSÃO DE CABO ÓPTICO</t>
  </si>
  <si>
    <t>12.3</t>
  </si>
  <si>
    <t>12.4</t>
  </si>
  <si>
    <t>12.5</t>
  </si>
  <si>
    <t>12.6</t>
  </si>
  <si>
    <t>13.8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</si>
  <si>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</si>
  <si>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</si>
  <si>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</si>
  <si>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</si>
  <si>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</si>
  <si>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</si>
  <si>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</si>
  <si>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</si>
  <si>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</si>
  <si>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</si>
  <si>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</si>
  <si>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</si>
  <si>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</si>
  <si>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</si>
  <si>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</si>
  <si>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</si>
  <si>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</si>
  <si>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</si>
  <si>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</si>
  <si>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</si>
  <si>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</si>
  <si>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</si>
  <si>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</si>
  <si>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</si>
  <si>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</si>
  <si>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</si>
  <si>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</si>
  <si>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</si>
  <si>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</si>
  <si>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</si>
  <si>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</si>
  <si>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</si>
  <si>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</si>
  <si>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</si>
  <si>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</si>
  <si>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</si>
  <si>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17.26</t>
  </si>
  <si>
    <t>17.27</t>
  </si>
  <si>
    <t>17.28</t>
  </si>
  <si>
    <t>19.6</t>
  </si>
  <si>
    <t>19.7</t>
  </si>
  <si>
    <t>19.8</t>
  </si>
  <si>
    <t>19.9</t>
  </si>
  <si>
    <t>19.10</t>
  </si>
  <si>
    <t>19.11</t>
  </si>
  <si>
    <t>19.12</t>
  </si>
  <si>
    <t>REFLETOR RETANGULAR EM ALUMINIO COM SUPORTE E ALCA REGULAVEL PARA FIXACAO, COM LAMPADA VAPOR DE MERCURIO 250W, FORNECIMENTO E INSTALAÇÃO</t>
  </si>
  <si>
    <t>ESPELHO CRISTAL ESPESSURA 4MM, COM MOLDURA EM ALUMINIO E COMPENSADO 6MM PLASTIFICADO COLADO</t>
  </si>
  <si>
    <t>COBOGO DE CONCRETO (ELEMENTO VAZADO), 10X40X40CM, ASSENTADO COM ARGAMASSA TRACO 1:4 (CIMENTO E AREIA), VER PROJETO ARQUITETÔNICO</t>
  </si>
  <si>
    <t>COBERTURA EM CHAPA DE POLICARBONATO VERDE 6MM, CONFORME PROJETO ARQUITETÔNICO</t>
  </si>
  <si>
    <t>TUBO PVC SOLDAVEL AGUA FRIA DN 25MM, INCLUSIVE CONEXOES - FORNECIMENTO E INSTALAÇÃO</t>
  </si>
  <si>
    <t>EMASSAMENTO COM MASSA LATEX PVA PARA AMBIENTES INTERNOS, DUAS DEMAOS (TETOS)</t>
  </si>
  <si>
    <t>EMASSAMENTO PAREDE INTERNA 2 DEMAOS C/MASSA ACRILICA</t>
  </si>
  <si>
    <t>PINTURA LATEX ACRILICA AMBIENTES INTERNOS/EXTERNOS, DUAS DEMAOS</t>
  </si>
  <si>
    <t>PINTURA ESMALTE 2 DEMAOS C/1 DEMAO ZARCAO P/ESQUADRIA FERRO</t>
  </si>
  <si>
    <t>MARCA E LETREIRO DE AÇO GALVANIZADO COM ACABAMENTO DE PINTURA COM TINTA LACA NITROCELULOSE, NAS CORES VEMELHA (100M 100Y), VERDE (50C 100Y) E PRETA (100K)</t>
  </si>
  <si>
    <t>2.3</t>
  </si>
  <si>
    <t>3.3</t>
  </si>
  <si>
    <t>19.13</t>
  </si>
  <si>
    <t>19.14</t>
  </si>
  <si>
    <t>REGISTRO PRESSAO 3/4" COM CANOPLA ACABAMENTO CROMADO SIMPLES - FORNECIMENTO E INSTALACAO</t>
  </si>
  <si>
    <t>14.5</t>
  </si>
  <si>
    <t>14.6</t>
  </si>
  <si>
    <t>FORMA TABUA P/ CONCRETO EM FUNDACAO E BALDRAME C/ REAPROVEITAMENTO 10X</t>
  </si>
  <si>
    <t>CONCRETO ARMADO FCK=21,0MPA, ADENSADO E LANÇADO, PARA VERGAS, CONTRA-VERGAS, PILARETES E CINTAS, COM FORMAS PLANAS EM COMPENSADO RESINADO 12MM (05 USOS)</t>
  </si>
  <si>
    <t>8.4</t>
  </si>
  <si>
    <t>SERVIÇOS PRELIMINARES</t>
  </si>
  <si>
    <t>ORÇAMENTO DETALHADO</t>
  </si>
  <si>
    <t>UNID</t>
  </si>
  <si>
    <t>V.TOTAL (R$)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</si>
  <si>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</si>
  <si>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</si>
  <si>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</si>
  <si>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</si>
  <si>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</si>
  <si>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</si>
  <si>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</si>
  <si>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</si>
  <si>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</si>
  <si>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</si>
  <si>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</si>
  <si>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</si>
  <si>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</si>
  <si>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14.0</t>
  </si>
  <si>
    <t>15.0</t>
  </si>
  <si>
    <t>16.0</t>
  </si>
  <si>
    <t>17.0</t>
  </si>
  <si>
    <t>18.0</t>
  </si>
  <si>
    <t>19.0</t>
  </si>
  <si>
    <t>20.0</t>
  </si>
  <si>
    <t>14.7</t>
  </si>
  <si>
    <t>RALO SIFONADO DE PVC 100X100MM SIMPLES - FORNECIMENTO E INSTALACAO</t>
  </si>
  <si>
    <t>PREÇO UNITARIO</t>
  </si>
  <si>
    <t>330 Dias</t>
  </si>
  <si>
    <t>360 Dias</t>
  </si>
  <si>
    <t>390 Dias</t>
  </si>
  <si>
    <t>16.1</t>
  </si>
  <si>
    <t>16.2</t>
  </si>
  <si>
    <t>BOLSA DE LIGACAO EM PVC FLEXIVEL P/ VASO SANITARIO 1.1/2" (40MM)</t>
  </si>
  <si>
    <t>19.15</t>
  </si>
  <si>
    <t>pt</t>
  </si>
  <si>
    <t>INSTITUTO FEDERAL DE EDUCAÇÃO CIÊNCIA E TECNOLOGIA - IFPB</t>
  </si>
  <si>
    <t>OBRA:</t>
  </si>
  <si>
    <t>CAMPUS:</t>
  </si>
  <si>
    <t>SETOR DE PROJETOS E ENGENHARIA</t>
  </si>
  <si>
    <t xml:space="preserve">LOCAL : </t>
  </si>
  <si>
    <t>MEMÓRIA</t>
  </si>
  <si>
    <t>SANTA LUZIA - IFPB</t>
  </si>
  <si>
    <t>SANTA LUZIA - PB</t>
  </si>
  <si>
    <t>EXECUÇÃO DOS SERVIÇOS DE GUARITA</t>
  </si>
  <si>
    <t>2.5</t>
  </si>
  <si>
    <t>SERVIÇOS EM TERRA</t>
  </si>
  <si>
    <t>FUNDAÇÕES E SONDAGENS</t>
  </si>
  <si>
    <t>Quantidade</t>
  </si>
  <si>
    <t>Observações</t>
  </si>
  <si>
    <t>Sapatas</t>
  </si>
  <si>
    <t>Baldrames V7, V8, V10 e V11</t>
  </si>
  <si>
    <t>Baldrames V1, V3, V4 e V6</t>
  </si>
  <si>
    <t>Baldrames V2 e V5</t>
  </si>
  <si>
    <t>Baldrame V9 (semi circular)</t>
  </si>
  <si>
    <t>Área da Guarita</t>
  </si>
  <si>
    <t>Área entre as vigas V2, V5, V8 e V10</t>
  </si>
  <si>
    <r>
      <t xml:space="preserve">Bitola </t>
    </r>
    <r>
      <rPr>
        <sz val="9"/>
        <rFont val="Calibri"/>
        <family val="2"/>
      </rPr>
      <t>ᶲ</t>
    </r>
  </si>
  <si>
    <t>Total</t>
  </si>
  <si>
    <t>Densidade</t>
  </si>
  <si>
    <t>Peso</t>
  </si>
  <si>
    <t>S1, S2, S3, S4, S5, S6, S7 e S8</t>
  </si>
  <si>
    <t>6.3</t>
  </si>
  <si>
    <t>V1 - Baldrame</t>
  </si>
  <si>
    <t>V2 - Baldrame</t>
  </si>
  <si>
    <t>V3 - Baldrame</t>
  </si>
  <si>
    <t>V4 - Baldrame</t>
  </si>
  <si>
    <t>V6 - Baldrame</t>
  </si>
  <si>
    <t>V5 - Baldrame</t>
  </si>
  <si>
    <t>Comprimento (m)</t>
  </si>
  <si>
    <t>V7 - Baldrame</t>
  </si>
  <si>
    <t>V8 - Baldrame</t>
  </si>
  <si>
    <t>V10 - Baldrame</t>
  </si>
  <si>
    <t>V11 - Baldrame</t>
  </si>
  <si>
    <t>V9 - Baldrame</t>
  </si>
  <si>
    <t>Comprimento do pilar (a)</t>
  </si>
  <si>
    <t>Largura do pilar (b)</t>
  </si>
  <si>
    <t>Comprimento da sapata (A)</t>
  </si>
  <si>
    <t>Largura da sapata (B)</t>
  </si>
  <si>
    <t>Altura Sapata (H)</t>
  </si>
  <si>
    <t xml:space="preserve">Altura da base da sapata (h0) </t>
  </si>
  <si>
    <t>Volujme concreto m³</t>
  </si>
  <si>
    <t>Sapata</t>
  </si>
  <si>
    <t>S1</t>
  </si>
  <si>
    <t>S2</t>
  </si>
  <si>
    <t>S3</t>
  </si>
  <si>
    <t>S4</t>
  </si>
  <si>
    <t>S5</t>
  </si>
  <si>
    <t>S6</t>
  </si>
  <si>
    <t>S7</t>
  </si>
  <si>
    <t>S8</t>
  </si>
  <si>
    <t>BALDRAME</t>
  </si>
  <si>
    <t>SAPATA</t>
  </si>
  <si>
    <t>Volume do concreto das sapatas (m³)</t>
  </si>
  <si>
    <t>Volume de concreto dos arranques (m³)</t>
  </si>
  <si>
    <t>Volume de reaterro (m³)</t>
  </si>
  <si>
    <t>Volume da escavação (m³)</t>
  </si>
  <si>
    <t>Volume do lastro de concreto das sapatas (e=10cm) (m³)</t>
  </si>
  <si>
    <t xml:space="preserve">V9 - Baldrame </t>
  </si>
  <si>
    <t>P1</t>
  </si>
  <si>
    <t>P2</t>
  </si>
  <si>
    <t>P3</t>
  </si>
  <si>
    <t>P4</t>
  </si>
  <si>
    <t>P5</t>
  </si>
  <si>
    <t>P6</t>
  </si>
  <si>
    <t>P7</t>
  </si>
  <si>
    <t>P8</t>
  </si>
  <si>
    <t>PILAR</t>
  </si>
  <si>
    <t>LAJE</t>
  </si>
  <si>
    <t>L1</t>
  </si>
  <si>
    <t>L2</t>
  </si>
  <si>
    <t>Área da base da laje (m²)</t>
  </si>
  <si>
    <t>Perímetro da borda (m)</t>
  </si>
  <si>
    <t>Altura da borda  (m)</t>
  </si>
  <si>
    <t>Área (m²)</t>
  </si>
  <si>
    <t>L3</t>
  </si>
  <si>
    <t>FUSTE DE PILAR</t>
  </si>
  <si>
    <t>ARRANQUE DE PILAR</t>
  </si>
  <si>
    <t>ARRANQUE DOS PILARES</t>
  </si>
  <si>
    <t>PILARES</t>
  </si>
  <si>
    <t>Escavação das sapatas da estrutura metálica</t>
  </si>
  <si>
    <t>S1-S2</t>
  </si>
  <si>
    <t>S3-S4</t>
  </si>
  <si>
    <t>V1-V7-V4-V8</t>
  </si>
  <si>
    <t>V3-V6-V10-V11</t>
  </si>
  <si>
    <t>V2-V5-V8-V10</t>
  </si>
  <si>
    <t>V9-V5 (semicírculo)</t>
  </si>
  <si>
    <t>1,65 (raio)</t>
  </si>
  <si>
    <t>Altura (m)</t>
  </si>
  <si>
    <t>Largura (m)</t>
  </si>
  <si>
    <t>Peso (Kg)</t>
  </si>
  <si>
    <t>Total (m)</t>
  </si>
  <si>
    <t>SAPATAS DA ESTRUTURA METÁLICA</t>
  </si>
  <si>
    <t>3.6</t>
  </si>
  <si>
    <t>200x200x6.3</t>
  </si>
  <si>
    <t>Perfil (mm)</t>
  </si>
  <si>
    <t>Largura</t>
  </si>
  <si>
    <t>Área</t>
  </si>
  <si>
    <t>CHAPA DE APOIO DOS PILARES</t>
  </si>
  <si>
    <t>CH1</t>
  </si>
  <si>
    <t>CH2</t>
  </si>
  <si>
    <t>CH3</t>
  </si>
  <si>
    <t xml:space="preserve"> CH4</t>
  </si>
  <si>
    <t>450X450X19</t>
  </si>
  <si>
    <t>PARAFUSO DE ANCORAGEM E FIXAÇÃO DOS PILARES</t>
  </si>
  <si>
    <t>VIGAS</t>
  </si>
  <si>
    <t>PARAFUSOS</t>
  </si>
  <si>
    <t>V1</t>
  </si>
  <si>
    <t>V2</t>
  </si>
  <si>
    <t>P9</t>
  </si>
  <si>
    <t>P10</t>
  </si>
  <si>
    <t>P11</t>
  </si>
  <si>
    <t>Trecho</t>
  </si>
  <si>
    <t>VIGAS DA ESTRUTURA DA COBERTA</t>
  </si>
  <si>
    <t>V3</t>
  </si>
  <si>
    <t>V4</t>
  </si>
  <si>
    <t>T1</t>
  </si>
  <si>
    <t>T2</t>
  </si>
  <si>
    <t>150X150X2</t>
  </si>
  <si>
    <t>42,2x3,6</t>
  </si>
  <si>
    <t>TIRANTES DE SUPORTE DA ESTRUTURA METÁLICA</t>
  </si>
  <si>
    <t>Desconto</t>
  </si>
  <si>
    <t>Trecho 1</t>
  </si>
  <si>
    <t>Trecho 2</t>
  </si>
  <si>
    <t>Trecho 3</t>
  </si>
  <si>
    <t>VIGAS SUPERIORES CIRCULAÇÃO</t>
  </si>
  <si>
    <t>Lado</t>
  </si>
  <si>
    <t>A</t>
  </si>
  <si>
    <t>B</t>
  </si>
  <si>
    <t>VIGAS DE COBERTA</t>
  </si>
  <si>
    <t>Volume (m³)</t>
  </si>
  <si>
    <t>med26</t>
  </si>
  <si>
    <t>VIGAS DE COBERTURA</t>
  </si>
  <si>
    <t>MED26</t>
  </si>
  <si>
    <t>Desconto (m²)</t>
  </si>
  <si>
    <t>C01</t>
  </si>
  <si>
    <t>ESQUADRIA J1</t>
  </si>
  <si>
    <t>ESQUADRIA J3</t>
  </si>
  <si>
    <t>ESQUADRIA J4</t>
  </si>
  <si>
    <t>ESQUADRIA J2</t>
  </si>
  <si>
    <t xml:space="preserve">PORTA 02 </t>
  </si>
  <si>
    <t>PORTA 01</t>
  </si>
  <si>
    <t>MED 27</t>
  </si>
  <si>
    <t>ESQUADRIAS METÁLICAS</t>
  </si>
  <si>
    <t>G01</t>
  </si>
  <si>
    <t>CHAPISCO INTERNO/EXTERNO</t>
  </si>
  <si>
    <t>CHAPISCO INTERNO</t>
  </si>
  <si>
    <t>MED28</t>
  </si>
  <si>
    <t>CHAPISCO EXTERNO</t>
  </si>
  <si>
    <t>PAREDES</t>
  </si>
  <si>
    <t>Total (unid)</t>
  </si>
  <si>
    <t>ESQUADRIA</t>
  </si>
  <si>
    <t>COBERTA</t>
  </si>
  <si>
    <t>G1</t>
  </si>
  <si>
    <t>G2</t>
  </si>
  <si>
    <t>G3</t>
  </si>
  <si>
    <t>20.4</t>
  </si>
  <si>
    <t>Aditivado</t>
  </si>
  <si>
    <t>med 28</t>
  </si>
  <si>
    <t>5.4</t>
  </si>
  <si>
    <t>MURETA L1</t>
  </si>
  <si>
    <t>MURETA L2</t>
  </si>
  <si>
    <t>MURETA L3</t>
  </si>
  <si>
    <t>MURETA L4</t>
  </si>
  <si>
    <t>med29</t>
  </si>
  <si>
    <t>G02</t>
  </si>
  <si>
    <t>G03</t>
  </si>
  <si>
    <t>MED29</t>
  </si>
  <si>
    <t>BANHEIRO</t>
  </si>
  <si>
    <t>GUARITA</t>
  </si>
  <si>
    <t>INSTALAÇÕES ELÉTRICAS</t>
  </si>
  <si>
    <t>MED30</t>
  </si>
  <si>
    <t>FORRO</t>
  </si>
  <si>
    <t>Parte interna da Guarita</t>
  </si>
  <si>
    <t>WC</t>
  </si>
  <si>
    <t>Entrada</t>
  </si>
  <si>
    <t>Parte interma da guarita</t>
  </si>
  <si>
    <t>J03</t>
  </si>
  <si>
    <t>Altura(m)</t>
  </si>
  <si>
    <t>med 31</t>
  </si>
  <si>
    <t>10.3</t>
  </si>
  <si>
    <t>med31</t>
  </si>
  <si>
    <t>J01</t>
  </si>
  <si>
    <t>J02</t>
  </si>
  <si>
    <t>,</t>
  </si>
  <si>
    <t>med 33</t>
  </si>
  <si>
    <t>JANELA TIPO MAXIM-AR ALUMINIO (CONF. DET. ARQUITETURA)</t>
  </si>
  <si>
    <t xml:space="preserve"> TUBO DE AÇO GALVANIZADO COM COSTURA 6" (150MM), INCLUSIVE CONEXÕES - INSTALAÇÃO</t>
  </si>
  <si>
    <t>med33</t>
  </si>
  <si>
    <t>ASSENTO SANITARIO ALMOFADADO - FORNEC E COLOCACAO</t>
  </si>
  <si>
    <t>CUBA DE UMBUTIR OVAL</t>
  </si>
  <si>
    <t>SIFAO  P/ LAVATORIO/PIA TIPO COPO 40 MM</t>
  </si>
  <si>
    <t>TORNEIRA CROMADA 1/2" OU 3/4"  P/ LAVATORIO / PIA - DECAMATIC</t>
  </si>
  <si>
    <t>TUBO LIGAÇÃO PARA LAVATÓRIO/PIA PVC CROMADO</t>
  </si>
  <si>
    <t>VALVULA  1" S/ UNHO (P/ PIA, TANQUE OU LAVAT SEM LADRAO)</t>
  </si>
  <si>
    <t>VASO SANITARIO SIFONADO LOUCA - CX ACOPLADA</t>
  </si>
  <si>
    <t>MED33</t>
  </si>
  <si>
    <t>med34</t>
  </si>
  <si>
    <t>E1</t>
  </si>
  <si>
    <t>med35</t>
  </si>
  <si>
    <t>CALÇADA EXTERNA (ÁREA DE PROJETO)</t>
  </si>
  <si>
    <t>MED35</t>
  </si>
  <si>
    <t>EXTINTOR INCENDIO TP PO QUIMICO 4KG FORNECIMENTO E COLOCACAO</t>
  </si>
  <si>
    <t>PORTA PAPEL FORNEC E COLOCACAO</t>
  </si>
  <si>
    <t>PORTA-TOALHAS OU CABIDE</t>
  </si>
  <si>
    <t>SABONETEIRA FORNEC E COLOCACAO</t>
  </si>
  <si>
    <t>med36</t>
  </si>
  <si>
    <t>med 36</t>
  </si>
  <si>
    <t>20.5</t>
  </si>
  <si>
    <t>20.3</t>
  </si>
  <si>
    <t>LIMPEZA GERAL DA OBRA</t>
  </si>
  <si>
    <t>LAJE (Bordas)</t>
  </si>
  <si>
    <t>1,8 (RAIO)</t>
  </si>
  <si>
    <t>Arranque: P1, P2 , P3, P4, P5, P6, P7 e P8</t>
  </si>
  <si>
    <t>Kg</t>
  </si>
  <si>
    <t>RAIO</t>
  </si>
  <si>
    <t>JANELA TIPO CORRER ALUMÍNIO (CONF. DET. ARQUITETURA)</t>
  </si>
  <si>
    <t>ENTRADA</t>
  </si>
  <si>
    <t>PORTA (0,60 X 2,10) DE ABRIR COM 1 FOLHA MÓVEL EM MADEIRA LAMINADA, COM NÚCLEO SÓLIDO, REVESTIMENTO RESISTENTE A IMPACTO NA PARTE INFERIOR, INCLUSIVE CAIXILHO, FECHADURA COM MAÇANETA TIPO ALAVANCA EM INOX ,DOBRADIÇAS E ALISAR DO MESMO MATERIAL - CONFORME PROJETO ARQUITETÔNICO</t>
  </si>
  <si>
    <t xml:space="preserve">TUBO PVC SOLDAVEL AGUA FRIA DN 50MM, INCLUSIVE CONEXOES - FORNECIMENTO E INSTALACAO </t>
  </si>
  <si>
    <t>CAIXA SINFONADA COM GRELHA 100MM X 100MM X 50MM</t>
  </si>
  <si>
    <t>Pt</t>
  </si>
  <si>
    <t>INSTALAÇÕES DE COMBATE A INCÊNDIO E PÂNICO</t>
  </si>
  <si>
    <t>EXTINTOR INCENDIO ÁGUA PRESSURIZADA 10L, INCLUSO SUPORTE PAREDE CARGA COMPLETA, FORNECIMENTO E COLOCAÇÃO</t>
  </si>
  <si>
    <t>CABEAMENTO ESTRUTURADO E TELEFONICO</t>
  </si>
  <si>
    <t>BANCADA MARMORE/GRANITO NACIONAL E=2CM, (CONFORME PROJETO ARQUITETÔNICO) - INCLUSO RESPAUDO DE 15 CM</t>
  </si>
  <si>
    <t>REGISTRO DE GAVETA COM CANOPLA DIÂMETRO 3/4", FORNECIMENTO E INSTALAÇÃO</t>
  </si>
  <si>
    <t>REGISTRO DE PRESSÃO DIÂMETRO 3/4" C/CANOPLA, FORNECIMENTO E INSTALAÇÃO</t>
  </si>
  <si>
    <t>OBRA: GUARITA - CAMPUS SANTA LUZIA</t>
  </si>
  <si>
    <t>CHUVEIRO PLÁSTICO BRANCO SIMPLES - FORNECIMENTO E INSTALAÇÃO</t>
  </si>
  <si>
    <t>KIT MOTOR DE PORTÃO ELETRÔNICO DZ4 SK TURBO - ROSSI Kit Motor 1/3HP TURBO SUPORTA PORTÕES DE ATÉ 800 Kg - ALTO FLUXO OU EQUIVALENTE, INSTALAÇÃO E FORNECIMENTO</t>
  </si>
  <si>
    <t>73964/006</t>
  </si>
  <si>
    <t>00071/ORSE</t>
  </si>
  <si>
    <t>ATERRO MANUAL DE ÁREAS, SEM AQUISIÇÃO DE MATERIAL, COM ESPALHAMENTO E COMPACATAÇÃO</t>
  </si>
  <si>
    <t>LASTRO DE CONCRETO, E = 5 CM, PREPARO MECÂNICO, INCLUSOS LANÇAMENTO E ADENSAMENTO</t>
  </si>
  <si>
    <t>REATERRO DE VALA COM COMPACTAÇÃO MANUAL</t>
  </si>
  <si>
    <t>RESUMO DA FERRAGEM</t>
  </si>
  <si>
    <t>3.7</t>
  </si>
  <si>
    <t>3.8</t>
  </si>
  <si>
    <t>3.5 / 3.6 / 3.7 / 3.8</t>
  </si>
  <si>
    <t>DETALHAMENTO DO AÇO</t>
  </si>
  <si>
    <t>3.9</t>
  </si>
  <si>
    <t>3.10</t>
  </si>
  <si>
    <t>FORMA PLANA P/VIGA, PILAR E PAREDE EM CHAPA RESINADA E= 10 MM - FUSTE (ALTURA VARIÁVEL)</t>
  </si>
  <si>
    <t>11486/ORSE</t>
  </si>
  <si>
    <t>CONCRETO SIMPLES USINADO, fck=30MPa, BOMBEADO, LANÇADO E ADENSADO NA INFRAESTRUTURA</t>
  </si>
  <si>
    <t>4.2 / 4.3 / 4.4 / 4.5</t>
  </si>
  <si>
    <t>4.8</t>
  </si>
  <si>
    <t>4.9</t>
  </si>
  <si>
    <t>4.10</t>
  </si>
  <si>
    <t>07393/ORSE</t>
  </si>
  <si>
    <t>06456/ORSE</t>
  </si>
  <si>
    <t>ALVENARIA DE VEDAÇÃO DE BLOCOS VAZADOS DE CERÂMICA DE 9X19X19CM (ESPESSURA 9CM), PARA EDIFICAÇÃO PÚBLICA</t>
  </si>
  <si>
    <t>FIXAÇÃO (ENCUNHAMENTO) DE ALVENARIA DE VEDAÇÃO COM ARGAMASSA EXPANSIVA APLICADA COM BISNAGA</t>
  </si>
  <si>
    <t>Altura</t>
  </si>
  <si>
    <t>IMPERMEABILIZACAO DE ESTRUTURAS ENTERRADAS, COM TINTA ASFALTICA, DUAS DEMÃOS</t>
  </si>
  <si>
    <t>74106/001</t>
  </si>
  <si>
    <t>74125/002</t>
  </si>
  <si>
    <t>73838/001</t>
  </si>
  <si>
    <t>00034389/INS</t>
  </si>
  <si>
    <t>73986/001</t>
  </si>
  <si>
    <t>TUBO, PVC, SOLDÁVEL, DN 25MM, INSTALADO EM RAMAL OU SUB-RAMAL DE ÁGUA - FORNECIMENTO E INSTALAÇÃO. AF_12/2014</t>
  </si>
  <si>
    <t>TUBO, PVC, SOLDÁVEL, DN 32MM, INSTALADO EM RAMAL OU SUB-RAMAL DE ÁGUA FORNECIMENTO E INSTALAÇÃO. AF_12/2014</t>
  </si>
  <si>
    <t>TUBO PVC, SÉRIE NORMAL, ESGOTO PRÉDIAL, DN 40MM, FORNECIDO E INSTALADO EM RAMAL DE DESCARGA OU RAMAL DE ESGOTO SANITÁRIO. AF_12/2014</t>
  </si>
  <si>
    <t>TUBO PVC, SÉRIE NORMAL, ESGOTO PRÉDIAL, DN 50MM, FORNECIDO E INSTALADO EM RAMAL DE DESCARGA OU RAMAL DE ESGOTO SANITÁRIO. AF_12/2014</t>
  </si>
  <si>
    <t>TUBO PVC, SÉRIE NORMAL, ESGOTO PRÉDIAL, DN 100MM, FORNECIDO E INSTALADO EM RAMAL DE DESCARGA OU RAMAL DE ESGOTO SANITÁRIO. AF_12/2014</t>
  </si>
  <si>
    <t>REGISTRO DE PRESSÃO BRUTO, LATÃO, ROSCÁVEL, 3/4", COM ACABAMENTO E CANOPLA CROMADOS. FORNECIDO E INSTALADO EM RAMAL DE ÁGUA. AF_12/2014</t>
  </si>
  <si>
    <t>REGISTRO DE GAVETA BRUTO, LATÃO, ROSCÁVEL, 3/4", COM ACABAMENTO E CANOPLA CROMADOS. FORNECIDO E INSTALADO EM RAMAL DE ÁGUA. AF_12/2014</t>
  </si>
  <si>
    <t>14.8</t>
  </si>
  <si>
    <t>LUVA SIMPLES, PVC, SÉRIE NORMAL, ESGOTO PREDIAL, DN 100MM, JUNTA ELÁSTICA FORNECIDO E INSTALADO EM RAMAL DE DESCARGA OU RAMAL DE ESGOTO SANITÁRIO. AF_12/2014</t>
  </si>
  <si>
    <t>und</t>
  </si>
  <si>
    <t>14.9</t>
  </si>
  <si>
    <t>LUVA SIMPLES, PVC, SÉRIE NORMAL, ESGOTO PREDIAL, DN 50MM, JUNTA ELÁSTICA FORNECIDO E INSTALADO EM RAMAL DE DESCARGA OU RAMAL DE ESGOTO SANITÁRIO. AF_12/2014</t>
  </si>
  <si>
    <t>14.10</t>
  </si>
  <si>
    <t>CURVA CURTA 90 GRAUS, PVC, SÉRIE NORMAL, ESGOTO PREDIAL, DN 100MM, JUNTA ELASTICA, FORNECIDO E INSTALADO EM RAMAL DE DESCARGA OU RAMAL DE ESGOTO SANITÁRIO. AF_12/2014</t>
  </si>
  <si>
    <t>14.11</t>
  </si>
  <si>
    <t>JOELHO 45 GRAUS, PVC, SÉRIE NORMAL, ESGOTO PREDIAL, DN 50MM, JUNTA ELASTICA, FORNECIDO E INSTALADO EM RAMAL DE DESCARGA OU RAMAL DE ESGOTO SANITÁRIO. AF_12/2014</t>
  </si>
  <si>
    <t>14.12</t>
  </si>
  <si>
    <t>JOELHO 90 GRAUS, PVC, SÉRIE NORMAL, ESGPTO PREDIAL, DN 40MM, JUNTA SOLDÁVEL, FORNECIDO E INSTALADO EM RAMAL DE  DESCARGA OU RAMAL DE ESGOTO SANITÁRIO. AF_12/2014</t>
  </si>
  <si>
    <t>14.13</t>
  </si>
  <si>
    <t>JOELHO 90 GRAUS, PVC, SÉRIE NORMAL, ESGPTO PREDIAL, DN 100MM, JUNTA SOLDÁVEL, FORNECIDO E INSTALADO EM RAMAL DE  DESCARGA OU RAMAL DE ESGOTO SANITÁRIO. AF_12/2014</t>
  </si>
  <si>
    <t>14.14</t>
  </si>
  <si>
    <t>TÊ, PVC, SÉRIE NORMAL, ESGOTO PREDIAL, DN 100 X 100MM, JUNTA ELASTICA, FORNECIDO E INSTALADO EM RAMAL DE DESGARCA OU RAMAL DE ESGOTO SANITÁRIO. AF_12/2014</t>
  </si>
  <si>
    <t>14.15</t>
  </si>
  <si>
    <t>JOELHO 45 GRAUS, PVC, SÉRIE NORMAL, ESGOTO PREDIAL, DN 40MM, JUNTA ELASTICA, FORNECIDO E INSTALADO EM RAMAL DE DESCARGA OU RAMAL DE ESGOTO SANITÁRIO. AF_12/2014</t>
  </si>
  <si>
    <t>14.16</t>
  </si>
  <si>
    <t>CAIXA SIFONADA, PVC, DN 100 X 100 X 50 MM, JUNTA ELÁSTICA, FORNECIDA E INSTALADA EM RAMAL DE DESCARGA OU EM RAMAL DE ESGOTO SANITÁRIO. AF_12/2014</t>
  </si>
  <si>
    <t>14.17</t>
  </si>
  <si>
    <t>JOELHO 90 GRAUS, PVC, SOLDÁVEL, DN 32MM, INSTALADO EM RAMAL OU SUB-RAMAL DE ÁGUA - FORNECIMENTO E INSTALAÇÃO. AF_12/2014</t>
  </si>
  <si>
    <t>14.18</t>
  </si>
  <si>
    <t>JOELHO 90 GRAUS, PVC, SOLDÁVEL, DN 25MM, INSTALADO EM RAMAL OU SUB-RAMAL DE ÁGUA - FORNECIMENTO E INSTALAÇÃO. AF_12/2014</t>
  </si>
  <si>
    <t>14.19</t>
  </si>
  <si>
    <t>JOELHO 90 GRAUS COM BUCHA DE LATÃO, PVC, SOLDÁVEL, DN 25MM, X 1/2 INSTALADO EM RAMAL OU SUB-RAMAL DE ÁGUA - FORNECIMENTO E INSTALAÇÃO. AF_12/2014</t>
  </si>
  <si>
    <t>14.20</t>
  </si>
  <si>
    <t>LUVA SOLDÁVEL E COM ROSCA, PVC, SOLDÁVEL, DN 25MM X 3/4, INSTALADO EM RAMAL OU SUB-RAMAL DE ÁGUA - FORNECIMENTO E INSTALAÇÃO. AF_12/2014</t>
  </si>
  <si>
    <t>14.21</t>
  </si>
  <si>
    <t>TE, PVC, SOLDÁVEL, DN 25MM, INSTALADO EM RAMAL OU SUB-RAMAL DE ÁGUA FORNECIMENTO E INSTALAÇÃO. AF_12/2014</t>
  </si>
  <si>
    <t>14.22</t>
  </si>
  <si>
    <t>ADAPTADOR CURTO COM BOLSA E ROSCA PARA REGISTRO, PVC, SOLDÁVEL, DN 25MM X 3/4, INSTALADO EM RAMAL OU SUB-RAMAL DE ÁGUA - FORNECIMENTO E INSTALAÇÃO. AF_12/2014</t>
  </si>
  <si>
    <t>14.23</t>
  </si>
  <si>
    <t>BUCHA DE REDUCAO DE PVC, SOLDAVEL, LONGA, 50 X 40 MM, PARA ESGOTO PREDIAL</t>
  </si>
  <si>
    <t>14.24</t>
  </si>
  <si>
    <t>JUNCAO SIMPLES, PVC, DN 100 X 50 MM, SERIE NORMAL PARA ESGOTO PREDIAL</t>
  </si>
  <si>
    <t>14.25</t>
  </si>
  <si>
    <t>ANEL BORRACHA PARA TUBO ESGOTO PREDIAL, DN 100 MM (NBR 5688)</t>
  </si>
  <si>
    <t>14.26</t>
  </si>
  <si>
    <t>ANEL BORRACHA PARA TUBO ESGOTO PREDIAL DN 50 MM (NBR 5688)</t>
  </si>
  <si>
    <t>00000296/INS</t>
  </si>
  <si>
    <t>00000301/INS</t>
  </si>
  <si>
    <t>00003659/INS</t>
  </si>
  <si>
    <t>00020086/INS</t>
  </si>
  <si>
    <t>73775/002</t>
  </si>
  <si>
    <t>73775/001</t>
  </si>
  <si>
    <t>73976/011</t>
  </si>
  <si>
    <t>COTAÇÃO</t>
  </si>
  <si>
    <t>CUBA DE EMBUTIR OVAL EM LOUÇA BRANCA, 35 X 50CM OU EQUIVALENTE - FORNECIMENTO E INSTALAÇÃO. AF_12/201</t>
  </si>
  <si>
    <t>SIFÃO DO TIPO GARRAFA/COPO EM PVC 1.1/4 X 1.1/2" - FORNECIMENTO E INSTALAÇÃO. AF_12/2013</t>
  </si>
  <si>
    <t>VASO SANITARIO COM CAIXA DE DESCARGA ACOPLADA - LOUCA BRANCA - FORNECIMENTO E INSTALAÇÃO</t>
  </si>
  <si>
    <t>00000377/INS</t>
  </si>
  <si>
    <t>00006140/INS</t>
  </si>
  <si>
    <t>00037401/INS</t>
  </si>
  <si>
    <t>00011758/INS</t>
  </si>
  <si>
    <t>00036796/INS</t>
  </si>
  <si>
    <t>00006141/INS</t>
  </si>
  <si>
    <t>00006154/INS</t>
  </si>
  <si>
    <t>00001370/INS</t>
  </si>
  <si>
    <t>00007608/INS</t>
  </si>
  <si>
    <t>00011680/INS</t>
  </si>
  <si>
    <t>74007/001</t>
  </si>
  <si>
    <t>03171/ORSE</t>
  </si>
  <si>
    <t>74007/003</t>
  </si>
  <si>
    <t>LOCACAO CONVENCIONAL DE OBRA, ATRAVÉS DE GABARITO DE TABUAS CORRIDAS PONTALETADAS, COM REAPROVEITAMENTO 3X</t>
  </si>
  <si>
    <t>OK</t>
  </si>
  <si>
    <t>2.6</t>
  </si>
  <si>
    <t>PREPARO DE FUNDO DE VALA COM LARGURA MENOR QUE 1,5 M, EM LOCAL COM NÍVEL BAIXO DE INTERFERÊNCIA.</t>
  </si>
  <si>
    <t>2.7</t>
  </si>
  <si>
    <t>PREPARO DE FUNDO DE VALA COM LARGURA MAIOR OU IGUAL A 1,5 M E MENOR QUE 2,5 M, EM LOCAL COM NÍVEL BAIXO DE INTERFERÊNCIA.</t>
  </si>
  <si>
    <t>IFPB.09E</t>
  </si>
  <si>
    <t>IFPB.11E</t>
  </si>
  <si>
    <t>IFPB.10E</t>
  </si>
  <si>
    <t>IFPB.13E</t>
  </si>
  <si>
    <t>IFPB.14E</t>
  </si>
  <si>
    <t>IFPB.16E</t>
  </si>
  <si>
    <t>IFPB.21E</t>
  </si>
  <si>
    <t>IFPB.05E</t>
  </si>
  <si>
    <t>IFPB.07E</t>
  </si>
  <si>
    <t>IFPB.20E</t>
  </si>
  <si>
    <t>DISJUNTOR MONOPOLAR TIPO DIN, CORRENTE NOMINAL DE 16A - FORNECIMENTO E INSTALAÇÃO. AF_04/2016</t>
  </si>
  <si>
    <t>DISJUNTOR MONOPOLAR TIPO DIN, CORRENTE NOMINAL DE 20A - FORNECIMENTO E INSTALAÇÃO. AF_04/2016</t>
  </si>
  <si>
    <t>DISJUNTOR TRIPOLAR TIPO DIN, CORRENTE NOMINAL DE 50A - FORNECIMENTO E INSTALAÇÃO. AF_04/2016</t>
  </si>
  <si>
    <t>PONTOS DE LUZ EM TETO OU PAREDE, COM ELETRODUTOS PVC RÍGIDO EMBUTIDO 3/4 E CABO 2,5MM2, FORNECIMENTO E INSTALAÇÃO</t>
  </si>
  <si>
    <t>PONTO INTERRUPTOR SIMPLES - 2 TECLAS EMBUTIDOS, CABO 2,5MM2 COM ELETRODUTO PVC ROSCAVEL 3/4", CURVA 90G E CAIXA 4X2" COM PLACA, FORNECIMENTO E INSTALAÇÃO</t>
  </si>
  <si>
    <t>PONTO INTERRUPTOR SIMPLES - 1 TECLA EMBUTIDOS, CABO 2,5MM2 COM ELETRODUTO PVC ROSCAVEL 3/4", CURVA 90G E CAIXA 4X2" COM PLACA, FORNECIMENTO E INSTALAÇÃO</t>
  </si>
  <si>
    <t>PONTO TOMADA BIPOLAR 2P + T 10A/250V, CABO 2,5MM2 COM ELETRODUTO PVC ROSCAVEL 3/4", CURVA 90G E CAIXA 4X2" COM PLACA, FORNECIMENTO E INSTALAÇÃO</t>
  </si>
  <si>
    <t>PONTO TOMADA BIPOLAR 2P + T 20A/250V, FIO 4,0MM2 COM ELETRODUTO PVC ROSCAVEL 3/4", CURVA 90G E CAIXA 4X2" COM PLACA, INCLUSIVE BUCHA E ARRUELA, FORNECIMENTO E INSTALAÇÃO</t>
  </si>
  <si>
    <t>QUADRO DE DISTRIBUICAO DE ENERGIA EM CHAPA METALICA, DE EMBUTIR, COM PORTA, PARA 16 DISJUNTORES DIN TERMOMAGNETICOS MONOPOLARES, COM DISPOSITIVO PARA CHAVE GERAL, COM BARRAMENTO TRIFASICO E NEUTRO, FORNECIMENTO E INSTALACAO</t>
  </si>
  <si>
    <t>LUMINARIA DE EMBUTIR COM ALETAS, REFLETOR PARABÓLICO DE ALTO BRILHO, PARA LÂMPADAS FLUORESCENTES LED 2 X 20W, MODELO C-2359 DA PROJETO OU SIMILAR, INCLUSIVE LÂMPADAS LED</t>
  </si>
  <si>
    <t>MINI REFLETOR RETANGULAR EM ALUMÍNIO PARA LÂMPADAS DE 135W, INCLUSIVE LÂMPADA, FORNECIMENTO E INSTALAÇÃO</t>
  </si>
  <si>
    <t>LUMINARIA TIPO CALHA, DE SOBREPOR, COM REATOR DE PARTIDA RÁPIDA E LÂMPADA FLUORESCENTES LED 1 X 20W,  FORNECIMENTO E INSTALAÇÃO</t>
  </si>
  <si>
    <t>00077/ORSE</t>
  </si>
  <si>
    <t>ARMAÇÃO DE PILAR OU VIGA DE UMA ESTRUTURA CONVENCIONAL DE CONCRETO ARMADO EM UM EDIFÍCIO DE MÚLTIPLOS PAVIMENTOS UTILIZANDO AÇO CA-60 DE 5.0 MM - MONTAGEM.</t>
  </si>
  <si>
    <t>ARMAÇÃO DE PILAR OU VIGA DE UMA ESTRUTURA CONVENCIONAL DE CONCRETO ARMADO EM UM EDIFÍCIO DE MÚLTIPLOS PAVIMENTOS UTILIZANDO AÇO CA-60 DE 6.3 MM - MONTAGEM.</t>
  </si>
  <si>
    <t>ARMAÇÃO DE PILAR OU VIGA DE UMA ESTRUTURA CONVENCIONAL DE CONCRETO ARMADO EM UM EDIFÍCIO DE MÚLTIPLOS PAVIMENTOS UTILIZANDO AÇO CA-60 DE 8.0 MM - MONTAGEM.</t>
  </si>
  <si>
    <t>ARMAÇÃO DE PILAR OU VIGA DE UMA ESTRUTURA CONVENCIONAL DE CONCRETO ARMADO EM UM EDIFÍCIO DE MÚLTIPLOS PAVIMENTOS UTILIZANDO AÇO CA-60 DE 10.0 MM - MONTAGEM.</t>
  </si>
  <si>
    <t>4.11</t>
  </si>
  <si>
    <t>4.6 e 4.7</t>
  </si>
  <si>
    <t>ARMAÇÃO DE LAJE DE UMA ESTRUTURA CONVENCIONAL DE CONCRETO ARMADO EM UM EDIFÍCIO DE MÚLTIPLOS PAVIMENTOS UTILIZANDO AÇO CA-50 DE 6.3 MM - MONTAGEM</t>
  </si>
  <si>
    <t>ARMAÇÃO DE LAJE DE UMA ESTRUTURA CONVENCIONAL DE CONCRETO ARMADO EM UM EDIFÍCIO DE MÚLTIPLOS PAVIMENTOS UTILIZANDO AÇO CA-50 DE 8.0 MM - MONTAGEM</t>
  </si>
  <si>
    <t>4.12</t>
  </si>
  <si>
    <t>CALHA EM CHAPA DE AÇO GALVANIZADO, CONFORME PROJETO ARQUITETÔNICO</t>
  </si>
  <si>
    <t>ARMAÇÃO DE ESTRUTURAS DE CONCRETO ARMADO, EXCETO VIGAS, PILARES, LAJES E FUNDAÇÕES PROFUNDAS (DE EDIFÍCIOS DE MÚLTIPLOS PAVIMENTOS, EDIFICAÇÃO TÉRREA OU SOBRADO), UTILIZANDO AÇO CA-50 DE 12.5 MM - MONTAGEM.</t>
  </si>
  <si>
    <t>ARMAÇÃO DE ESTRUTURAS DE CONCRETO ARMADO, EXCETO VIGAS, PILARES, LAJES E FUNDAÇÕES PROFUNDAS (DE EDIFÍCIOS DE MÚLTIPLOS PAVIMENTOS, EDIFICAÇÃO TÉRREA OU SOBRADO), UTILIZANDO AÇO CA-50 DE 10.0 MM - MONTAGEM.</t>
  </si>
  <si>
    <t>ARMAÇÃO DE ESTRUTURAS DE CONCRETO ARMADO, EXCETO VIGAS, PILARES, LAJES E FUNDAÇÕES PROFUNDAS (DE EDIFÍCIOS DE MÚLTIPLOS PAVIMENTOS, EDIFICAÇÃO TÉRREA OU SOBRADO), UTILIZANDO AÇO CA-50 DE 8.0 MM - MONTAGEM.</t>
  </si>
  <si>
    <t>ARMAÇÃO DE ESTRUTURAS DE CONCRETO ARMADO, EXCETO VIGAS, PILARES, LAJES E FUNDAÇÕES PROFUNDAS (DE EDIFÍCIOS DE MÚLTIPLOS PAVIMENTOS, EDIFICAÇÃO TÉRREA OU SOBRADO), UTILIZANDO AÇO CA-50 DE 6.3 MM - MONTAGEM.</t>
  </si>
  <si>
    <t>ARMAÇÃO DE ESTRUTURAS DE CONCRETO ARMADO, EXCETO VIGAS, PILARES, LAJES E FUNDAÇÕES PROFUNDAS (DE EDIFÍCIOS DE MÚLTIPLOS PAVIMENTOS, EDIFICAÇÃO TÉRREA OU SOBRADO), UTILIZANDO AÇO CA-50 DE 5.0 MM - MONTAGEM.</t>
  </si>
  <si>
    <t>CONCRETO USINADO BOMBEADO FCK=30MPA PARA ESTRUTURAS, LANÇADO E ADENSADO INCLUSIVE CONTROLE TECNOLÓGICO</t>
  </si>
  <si>
    <t>03346/ORSE</t>
  </si>
  <si>
    <t>02375/ORSE</t>
  </si>
  <si>
    <t>04440/ORSE</t>
  </si>
  <si>
    <t>REVESTIMENTO CERÂMICO COM PAREDE 10x10 CM,  (CONFORME DET. PROJ. ARQUITETURA), APLICADO COM ARGAMASSINC.REJUNTE FLEXÍVEL</t>
  </si>
  <si>
    <t>APLICAÇÃO E LIXAMENTO DE MASSA LÁTEX EM PAREDES, DUAS DEMÃOS.</t>
  </si>
  <si>
    <t>APLICAÇÃO E LIXAMENTO DE MASSA LÁTEX EM TETO, DUAS DEMÃOS.</t>
  </si>
  <si>
    <t>07289/ORSE</t>
  </si>
  <si>
    <t>FORNECIMENTO E INSTALAÇÃO DE TUBULAÇÃO EM COBRE P/ INTERLIGAÇÃO DO CONDENSADOR AO EVAPORADOR, INCLUSIVE ISOLAMENTO, ALIMENTAÇÃO ELÉTRICA, CONEXÕES E FIXAÇÕES, P/ CONDICIONADORES DE AR SPLIT SUSTEM ATÉ 48.000 BTU.</t>
  </si>
  <si>
    <t>04341/ORSE</t>
  </si>
  <si>
    <t>PORTÃO DE METALON EM BARRA CHATA DE FERRO COM FECHADURA E DOBRADIÇA, INCLUSO PINTURA E ESMALTE SINTÉTICO ( CONFORME PROJET. ARQUITETONICO)</t>
  </si>
  <si>
    <t>VIDRO CRISTAL e= 4mm - COM PELÍCULA NA COR VERDE CONFORME PROJETO</t>
  </si>
  <si>
    <t>CONTRAPISO EM ARGAMASSA TRAÇO 1:4 (CIMENTO E AREIA), PREPARO MECÂNICO COM BETONEIRA 400 L, APLICADO EM ÁREAS SECAS SOBRE LAJE, ADERIDO, ESPESSURA 3CM.</t>
  </si>
  <si>
    <t>C3659/SEINF</t>
  </si>
  <si>
    <t>DATA REFERÊNCIA:  ABRIL/2017</t>
  </si>
  <si>
    <t>ESCAVAÇÃO MECANIZADA DE VALA COM PROF. ATÉ 1,5 M MÉDIA ENTRE MONTANTE E JUSANTE/UMA COMPOSIÇÃO POR TRECHO), COM ESCAVADEIRA HIDRÁULICA (0,8 M3/111 HP), LARG. DE 1,5 M A 2,5 M, EM SOLO DE 1A CATEGORIA, EM LOCAIS COM ALTO BAIXO DE INTERFERÊNCIA.</t>
  </si>
  <si>
    <t>ESCAVAÇÃO MECANIZADA DE VALA COM PROF. MAIOR QUE 1,5 M ATÉ 3,0 M (MÉDI A ENTRE MONTANTE E JUSANTE/UMA COMPOSIÇÃO POR TRECHO), COM ESCAVADEIRA HIDRÁULICA (0,8 M3/111 HP), LARG. DE 1,5 M A 2,5 M, EM SOLO DE 1A CAT EGORIA, EM LOCAIS COM BAIXO NÍVEL DE INTERFERÊNCIA.</t>
  </si>
  <si>
    <t>FORMA PLANA PARA ESTRUTURA EM COMPENSADO PLASTIFICADO 12MM 4 USOS, INCLUSIVE ESCORAMENTO</t>
  </si>
  <si>
    <t>LAJE PRÉ-FABRICADA TRELIÇADA PARA PISO OU COBERTURA, INTEREIXO 38CM, H=13CM, EL. ENCHIMENTO EM EPS H=8CM, INCLUSIVE ESCORAMENTO EM MADEIRA, CAPEAMENTO 4CM, ARMADURA NEGATIVA E ADICIONAL</t>
  </si>
  <si>
    <t>IMPERMEABILIZAÇÃO DE SUPERFÍCIE C/ ARGAMASSA 1:4 (CIMENTO E AREIA) ESPESSURA 2CM C/ IMPERMEABILIZANTE VEDACIT OU SIMILAR</t>
  </si>
  <si>
    <t>IMPERMEABILIZAÇÃO COM MANTA ASFÁLTICA (COM POLÍMEROS TIPO APP) ESPESSURA 3MM</t>
  </si>
  <si>
    <t>6.4</t>
  </si>
  <si>
    <t>01968/ORSE</t>
  </si>
  <si>
    <t>IMPERMEABILIZAÇÃO - PROTEÇÃO MECÂNICA DE SUPERFÍCIE COM ARGAMASSA CIMENTO E AREIA TRAÇO 1:3</t>
  </si>
  <si>
    <t>CHAPISCO APLICADO EM ALVENARIAS E ESTRUTURAS DE CONCRETO INTERNAS, COM COLHER DE PEDREIRO. ARGAMASSA TRAÇO 1:3 COM PREPARO EM BETONEIRA 400 l</t>
  </si>
  <si>
    <t>CHAPISCO APLICADO NO TETO, COM ROLO PARA TEXTURA ACRÍLICA. ARGAMASSA TRAÇO 1:4 E EMULSÃO POLIMÉRICA (ADESIVO) COM PREPARO EM BETONEIRA 400L</t>
  </si>
  <si>
    <t>MASSA ÚNICA, PARA RECEBIMENTO DE PINTURA, EM ARGAMASSA TRAÇO 1:2:8, PREPARO MECÂNICO COM BETONEIRA 400L, APLICADA MANUALMENTE EM TETO, ESPESSURA DE 10MM, COM EXECUÇÃO DE TALISCAS.</t>
  </si>
  <si>
    <t>MASSA ÚNICA, PARA RECEBIMENTO DE PINTURA, EM ARGAMASSA TRAÇO 1:2:8, PREPARO MECÂNICO COM BETONEIRA 400L, APLICADA MANUALMENTE EM FACES INTERNAS DE PAREDES, ESPESSURA DE 20MM, COM EXECUÇÃO DE TALISCAS.</t>
  </si>
  <si>
    <t>07593/ORSE</t>
  </si>
  <si>
    <t>REVESTIMENTO CERÂMICO PARA PISO OU PAREDE, 20 x 20 CM, ELIZABETH OU SIMILAR, LINHA CRISTAL BRANCO, APLICADO C/ARGAMASSA INDUSTRIALIZADA AD-II, REJUNTADO, EXCLUSIVE REGULARIZAÇÃO DE BASE OU EMBOÇO</t>
  </si>
  <si>
    <t>LASTRO DE CONCRETO, E = 7 CM, PREPARO MECÂNICO, INCLUSOS LANÇAMENTO E ADENSAMENTO.</t>
  </si>
  <si>
    <t>EXECUÇÃO DE PASSEIO EM PISO INTERTRAVADO, COM BLOCO RETANGULAR COR NATURAL DE 20 X 10 CM, ESPESSURA 6 CM.</t>
  </si>
  <si>
    <t>PISO TÁTIL DIRECIONAL E/OU ALERTA, DE CNCRETO, COLORIDO, P/DEFICIENTES VISUAIS, DIMENSÕES 25x25CM, AP0LICADO COM ARGAMASSA INDUSTRIALIZADA AC-II, REJUNTADO, EXCLUSIVE REGULARIZAÇÃO DE BASE, COR VERMELHA</t>
  </si>
  <si>
    <t>07324/ORSE</t>
  </si>
  <si>
    <t>PISO TÁTIL DIRECIONAL E/OU ALERTA, DE CNCRETO, COLORIDO, P/DEFICIENTES VISUAIS, DIMENSÕES 25x25CM, AP0LICADO COM ARGAMASSA INDUSTRIALIZADA AC-II, REJUNTADO, EXCLUSIVE REGULARIZAÇÃO DE BASE, COR AZUL</t>
  </si>
  <si>
    <t>SOLEIRA GRANITO POLIDO PRETO 15 cm, E= 2,0cm</t>
  </si>
  <si>
    <t>09587/ORSE</t>
  </si>
  <si>
    <t>02259/ORSE</t>
  </si>
  <si>
    <t>RODAPÉ EM GRANILITE, H=7CM</t>
  </si>
  <si>
    <t>APLICAÇÃO MANUAL DE PINTURA COM TINTA LÁTEX ACRÍLICA EM TETO, DUAS DEMÃOS.</t>
  </si>
  <si>
    <t>BANCADA EM GRANITO VERDE UBATUBA, E=2CM</t>
  </si>
  <si>
    <t>11150/ORSE</t>
  </si>
  <si>
    <t>02066/ORSE</t>
  </si>
  <si>
    <t>PAPELEIRA DE PAREDE EM METAL CROMADO SEM TAMPA, INCLUSO FIXAÇÃO.</t>
  </si>
  <si>
    <t>ASSENTO PLÁSTICO, UNIVERSAL, BRANCO, PARA VASO SANITÁRIO, TIPO CONVENCIONAL, INCEPA OU SIMILAR</t>
  </si>
  <si>
    <t>04287/ORSE</t>
  </si>
  <si>
    <t>DISPENSER PARA TOALHA INTERFOLHADA</t>
  </si>
  <si>
    <t>02051/ORSE</t>
  </si>
  <si>
    <t>SABONETEIRA PARA SABÃO LÍQUIDO</t>
  </si>
  <si>
    <t>09676/ORSE</t>
  </si>
  <si>
    <t>03699/ORSE</t>
  </si>
  <si>
    <t>VALVULA DESCARGA 1.1/2" COM REGISTRO, ACABAMENTO EM METAL CROMADO - FORNECIMENTO E INSTALACAO</t>
  </si>
  <si>
    <t>Ducha higiênica com registro, linha aspen, ref. 1984 C35 da DECA ou similar</t>
  </si>
  <si>
    <t>08211/ORSE</t>
  </si>
  <si>
    <t>02050/ORSE</t>
  </si>
  <si>
    <t>Chuveiro plástico sem registro</t>
  </si>
  <si>
    <t>TORNEIRA DE MESA COM FECHAMENTO AUTOMÁTICO, LINHA DECAMATIC ECO, REF. 1173.C, DECA OU SIMILAR</t>
  </si>
  <si>
    <t>ENGATE EM PVC (LIGAÇÃO FLEXÍVEL), AKROS, 3O0 CM, ACABAMENTO BRANCO OU SIMILAR.</t>
  </si>
  <si>
    <t>CANCELA RETA AUTOMÁTICA 4M, CONTROLADOR DIGITAL, ACIONADOR MANUAL DENTRO DA GUARITA E BASE DE CONCRETO FIXADO COM PARAFUSO PARABOLT, FORNECIMENTO E INSTALAÇÃO</t>
  </si>
  <si>
    <t>ALVENARIA EM TIJOLO CERAMICO 9X19X19CM, 1 VEZ, ASSENTADO COM ARGAMASSA TRACO 1:2:8 (CIMENTO, CAL E AREIA)</t>
  </si>
  <si>
    <t>MURO EM ALVENARIA BLOCO CERÂMICO, E= 0,09M, C/ ALVENARIA DE PEDRA 0,35 x 0,60M, PILARES (9x20CM) A CADA 3,0M, CINTAS INFERIOR E SUPERIOR (9x15cm) EM CONCRETO ARMADO FCK=15,0 Mpa, COM CHAPISCO, REBOCO E PINTURA HIDRACOR OU SIMILAR</t>
  </si>
  <si>
    <t>IFPB.CIVIL.04</t>
  </si>
  <si>
    <t>IFPB.GUARITA.02</t>
  </si>
  <si>
    <t>IFPB.GUARITA.01</t>
  </si>
  <si>
    <t>20.6</t>
  </si>
  <si>
    <t>PORTA EM VIDRO TEMPERADO, 0,9x2,10M, 10MM INCOLOR COM BANDEIRA FIXA DE UMA FOLHA, INCLUSIVE MOLA HIDRÚLICA</t>
  </si>
  <si>
    <t>GRADIL DE FERRO 1/2"x1/2" E SPAÇAMENTO 10cm MONTANTES DE TUDOS DE AÇO GALV. ø 2" ESPAÇAMENTO DE 3 CM INCLUSIVE ASSENTAMENTO</t>
  </si>
  <si>
    <t>15.14</t>
  </si>
  <si>
    <t>CABO DE COBRE FLEXÍVEL ISOLADO, 6 MM², ANTI-CHAMA 0,6/1,0 KV, PARA CIRCUITOS TERMINAIS - FORNECIMENTO E INSTALAÇÃO. AF_12/2015</t>
  </si>
  <si>
    <t>15.15</t>
  </si>
  <si>
    <t>15.16</t>
  </si>
  <si>
    <t>DISJUNTOR TRIPOLAR TIPO DIN, CORRENTE NOMINAL DE 32A - FORNECIMENTO E INSTALAÇÃO. AF_04/2016</t>
  </si>
  <si>
    <t>DISJUNTOR TRIPOLAR TIPO DIN, CORRENTE NOMINAL DE 40A - FORNECIMENTO E INSTALAÇÃO. AF_04/2016</t>
  </si>
  <si>
    <t>IFPB.06E</t>
  </si>
  <si>
    <t>IFPB.24E</t>
  </si>
  <si>
    <t>LUMINÁRIA INDUSTRIAL INCLUSIVE LAMPADA FLOURESCENTE COMPACTA 135W, FORNECIMENTO E INSTALAÇÃO</t>
  </si>
  <si>
    <t>LUMINARIA TIPO CALHA, DE SOBREPOR COM LÂMPADA FLUORESCENTES LED 1 X 20W,  &gt;= 1.850 LM, FP= 0,92, FORNECIMENTO E INSTALAÇÃO</t>
  </si>
  <si>
    <t>REFLETOR RETANGULAR EM ALUMINIO COM SUPORTE E ALCA REGULAVEL PARA FIXACAO, COM LAMPADA VAPOR DE SÓDIO 250W, INCLUSIVE REATOR - FORNECIMENTO E INSTALAÇÃO</t>
  </si>
  <si>
    <t>00410</t>
  </si>
  <si>
    <t>ABRACADEIRA DE NYLON PARA AMARRACAO DE CABOS, COMPRIMENTO DE 150 X *3,6* MM</t>
  </si>
  <si>
    <t>IFPB.43E</t>
  </si>
  <si>
    <t>CÂMERA IP TIPO POE FULL HD CFTV, FORNECIMENTO E INSTALAÇÃO</t>
  </si>
  <si>
    <t>IFPB.47E</t>
  </si>
  <si>
    <t>CERTIFICAÇÃO DE REDE DE CABEAMENTO ESTRUTURADO INCLUINDO ETIQUETAGEM DOS CABOS E PLACAS DE REDE</t>
  </si>
  <si>
    <t>08581/ORSE</t>
  </si>
  <si>
    <t>CERTIFICAÇÃO DE REDE ÓPTICA</t>
  </si>
  <si>
    <t>10245/ORSE</t>
  </si>
  <si>
    <t>CONVERSOR FIBRA ÓTICA PARA RJ-45, COM UMA PORTA RJ-45 1000BASE-T, UMA PORTA PARA FIBRA ÓTICA 1000BASE-SX MULTIMODO (50/125 OU 62,5/125) PARA CONECTOR SC, COM LED EM SEU CORPO</t>
  </si>
  <si>
    <t>IFPB.48E</t>
  </si>
  <si>
    <t>CORDÃO ÓPTICO DUPLEX MULTIMODO, FORNECIMENTO E INSTALAÇÃO</t>
  </si>
  <si>
    <t>91914</t>
  </si>
  <si>
    <t>CURVA 90 GRAUS PARA ELETRODUTO, PVC, ROSCÁVEL, DN 25 MM (3/4"), PARA CIRCUITOS TERMINAIS, INSTALADA EM PAREDE - FORNECIMENTO E INSTALAÇÃO. AF_12/2015</t>
  </si>
  <si>
    <t>UN</t>
  </si>
  <si>
    <t>91917</t>
  </si>
  <si>
    <t>CURVA 90 GRAUS PARA ELETRODUTO, PVC, ROSCÁVEL, DN 32 MM (1"), PARA CIRCUITOS TERMINAIS, INSTALADA EM PAREDE - FORNECIMENTO E INSTALAÇÃO. AF_12/2015</t>
  </si>
  <si>
    <t>11307/ORSE</t>
  </si>
  <si>
    <t>DISTRIBUIDOR INTERNO ÓPTICO - D.I.O PARA 24 FIBRAS</t>
  </si>
  <si>
    <t>ELETRODUTO RÍGIDO ROSCÁVEL, PVC, DN 25 MM (3/4"), PARA CIRCUITOS TERMINAIS, INSTALADO EM PAREDE - FORNECIMENTO E INSTALAÇÃO. AF_12/2015</t>
  </si>
  <si>
    <t>ELETRODUTO RÍGIDO ROSCÁVEL, PVC, DN 32 MM (1"), PARA CIRCUITOS TERMINAIS, INSTALADO EM PAREDE - FORNECIMENTO E INSTALAÇÃO. AF_12/2015</t>
  </si>
  <si>
    <t>03883/ORSE</t>
  </si>
  <si>
    <t>EXTENSÃO ÓPTICA DUPLEX 62,5/125 CONECTOR SC, 2,5 METROS</t>
  </si>
  <si>
    <t>11242/ORSE</t>
  </si>
  <si>
    <t>FORNECIMENTO E INSTALAÇÃO DE CONECTOR RJ 45 MACHO CAT 6</t>
  </si>
  <si>
    <t>11229/ORSE</t>
  </si>
  <si>
    <t>FORNECIMENTO E INSTALAÇÃO DE PATH PANEL COM 24 PORTAS CAT.6</t>
  </si>
  <si>
    <t>08682/ORSE</t>
  </si>
  <si>
    <t>FORNECIMENTO E INSTALAÇÃO DE RACK DE PISO 19" X 12U X 450MM</t>
  </si>
  <si>
    <t>07138/ORSE</t>
  </si>
  <si>
    <t>FORNECIMENTO E LANÇAMENTO DE CABO UTP 4 PARES CAT 6</t>
  </si>
  <si>
    <t>INCC</t>
  </si>
  <si>
    <t>LUVA PARA ELETRODUTO, PVC, ROSCÁVEL, DN 25 MM (3/4"), PARA CIRCUITOS TERMINAIS, INSTALADA EM PAREDE - FORNECIMENTO E INSTALAÇÃO. AF_12/2015</t>
  </si>
  <si>
    <t>LUVA PARA ELETRODUTO, PVC, ROSCÁVEL, DN 32 MM (1"), PARA CIRCUITOS TERMINAIS, INSTALADA EM PAREDE - FORNECIMENTO E INSTALAÇÃO. AF_12/2015</t>
  </si>
  <si>
    <t>06639/ORSE</t>
  </si>
  <si>
    <t>PATCH CABLE (PATCH CORD AZUL) CAT.6 C/1,50M</t>
  </si>
  <si>
    <t>01688/ORSE</t>
  </si>
  <si>
    <t>PARAFUSO COM PORCA GAIOLA</t>
  </si>
  <si>
    <t>11419/ORSE</t>
  </si>
  <si>
    <t>RÉGUA (FILTRO DE LINHA) COM 8 TOMADAS</t>
  </si>
  <si>
    <t>IFPB.41E</t>
  </si>
  <si>
    <t>SWITCH 24 PORTAS TIPO POE 10/100/1000 GERENCIÁVEL, FORNECIMENTO E INSTALAÇÃO</t>
  </si>
  <si>
    <t>11234/ORSE</t>
  </si>
  <si>
    <t>TOMADA DUPLA PARA LÓGICA RJ45, CAT.6, COM CAIXA PVC, EMBUTIR, COMPLETA</t>
  </si>
  <si>
    <t>11214/ORSE</t>
  </si>
  <si>
    <t>TOMADA PARA LÓGICA RJ45, COM CAIXA PVC, EMBUTIDA, CAT. 6</t>
  </si>
  <si>
    <t>061458/SEDOP</t>
  </si>
  <si>
    <t>PAINEL EM ACM - ESTRUTURADO (FACHADAS)</t>
  </si>
  <si>
    <t>BDI (26,17%)</t>
  </si>
  <si>
    <t>IFPB.CIVIL.06</t>
  </si>
  <si>
    <t>IFPB.CIVIL.09</t>
  </si>
  <si>
    <t>SUPLAN 6719 + INCC</t>
  </si>
  <si>
    <t>01951/ORSE</t>
  </si>
  <si>
    <t>SANCA OU CIMALHA EM GESSO L=6CM</t>
  </si>
  <si>
    <t>13.9</t>
  </si>
  <si>
    <t>PISO EM GRANILITE, MARMORITE OU GRANITINA, AGREGADO COR PRETO, CINZA, PALHA OU BRANCO, E= 8 MM (INCLUSO EXECUCAO)</t>
  </si>
  <si>
    <t>JUNTA PLASTICA DE DILATACAO PARA PISOS, COR CINZA, 17 X 3 MM (ALTURA X ESPESSURA)</t>
  </si>
  <si>
    <t>01871/ORSE</t>
  </si>
  <si>
    <t>ESTRUTURA METÁLICA PARA COBERTURA MODULAR EM PERFIS, EM AÇO LAMINADO E DOBRADO, INCLUSIVE PILARES, VIGAS, TRELIÇAS E TERÇAS, E APLICAÇÃO DE PRIMER ANTICORROSIVO</t>
  </si>
  <si>
    <t>4786/INS</t>
  </si>
  <si>
    <t>3671/INS</t>
  </si>
  <si>
    <t>ORÇAMENTO RESUMO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</si>
</sst>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00000"/>
    <numFmt numFmtId="166" formatCode="0.0000"/>
    <numFmt numFmtId="167" formatCode="0.000"/>
    <numFmt numFmtId="168" formatCode="0.0"/>
    <numFmt numFmtId="169" formatCode="_(* #,##0.000_);_(* \(#,##0.000\);_(* &quot;-&quot;??_);_(@_)"/>
  </numFmts>
  <fonts count="27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8"/>
      <name val="Comic Sans MS"/>
      <family val="4"/>
    </font>
    <font>
      <sz val="8"/>
      <name val="Comic Sans MS"/>
      <family val="4"/>
    </font>
    <font>
      <sz val="8"/>
      <name val="Arial"/>
      <family val="2"/>
    </font>
    <font>
      <b/>
      <sz val="10"/>
      <name val="Comic Sans MS"/>
      <family val="4"/>
    </font>
    <font>
      <b/>
      <sz val="8"/>
      <color indexed="8"/>
      <name val="Comic Sans MS"/>
      <family val="4"/>
    </font>
    <font>
      <b/>
      <sz val="14"/>
      <color indexed="8"/>
      <name val="Comic Sans MS"/>
      <family val="4"/>
    </font>
    <font>
      <sz val="10"/>
      <name val="Arial"/>
      <family val="2"/>
    </font>
    <font>
      <b/>
      <sz val="10"/>
      <name val="Arial"/>
      <family val="2"/>
    </font>
    <font>
      <b/>
      <sz val="12"/>
      <name val="Comic Sans MS"/>
      <family val="4"/>
    </font>
    <font>
      <sz val="12"/>
      <name val="Comic Sans MS"/>
      <family val="4"/>
    </font>
    <font>
      <sz val="14"/>
      <name val="Comic Sans MS"/>
      <family val="4"/>
    </font>
    <font>
      <sz val="10"/>
      <name val="Arial"/>
      <family val="2"/>
    </font>
    <font>
      <b/>
      <sz val="12"/>
      <name val="Arial"/>
      <family val="2"/>
    </font>
    <font>
      <b/>
      <sz val="4"/>
      <name val="Arial"/>
      <family val="2"/>
    </font>
    <font>
      <sz val="4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color rgb="FFFF0000"/>
      <name val="Comic Sans MS"/>
      <family val="4"/>
    </font>
    <font>
      <sz val="11"/>
      <name val="Calibri"/>
      <family val="2"/>
      <scheme val="minor"/>
    </font>
    <font>
      <sz val="12"/>
      <color theme="1"/>
      <name val="Comic Sans MS"/>
      <family val="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66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1">
    <xf numFmtId="0" fontId="0" fillId="0" borderId="0"/>
    <xf numFmtId="44" fontId="14" fillId="0" borderId="0" applyFont="0" applyFill="0" applyBorder="0" applyAlignment="0" applyProtection="0"/>
    <xf numFmtId="0" fontId="23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9" fontId="1" fillId="0" borderId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ill="0" applyBorder="0" applyAlignment="0" applyProtection="0"/>
    <xf numFmtId="169" fontId="1" fillId="0" borderId="0" applyFill="0" applyBorder="0" applyAlignment="0" applyProtection="0"/>
    <xf numFmtId="169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ill="0" applyBorder="0" applyAlignment="0" applyProtection="0"/>
    <xf numFmtId="169" fontId="1" fillId="0" borderId="0" applyFill="0" applyBorder="0" applyAlignment="0" applyProtection="0"/>
    <xf numFmtId="169" fontId="1" fillId="0" borderId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9">
    <xf numFmtId="0" fontId="0" fillId="0" borderId="0" xfId="0"/>
    <xf numFmtId="0" fontId="4" fillId="0" borderId="0" xfId="0" applyFont="1" applyFill="1"/>
    <xf numFmtId="0" fontId="6" fillId="0" borderId="0" xfId="0" applyFont="1" applyFill="1"/>
    <xf numFmtId="0" fontId="4" fillId="0" borderId="0" xfId="0" applyFont="1" applyFill="1" applyAlignment="1">
      <alignment horizontal="center" vertical="center"/>
    </xf>
    <xf numFmtId="164" fontId="4" fillId="0" borderId="0" xfId="29" applyFont="1" applyFill="1" applyAlignment="1">
      <alignment horizontal="right"/>
    </xf>
    <xf numFmtId="164" fontId="4" fillId="0" borderId="0" xfId="29" applyFont="1" applyFill="1" applyAlignment="1">
      <alignment horizontal="center" vertical="center"/>
    </xf>
    <xf numFmtId="4" fontId="4" fillId="0" borderId="0" xfId="29" applyNumberFormat="1" applyFont="1" applyFill="1" applyAlignment="1">
      <alignment horizontal="center"/>
    </xf>
    <xf numFmtId="164" fontId="4" fillId="0" borderId="0" xfId="0" applyNumberFormat="1" applyFont="1" applyFill="1"/>
    <xf numFmtId="0" fontId="3" fillId="2" borderId="1" xfId="27" applyFont="1" applyFill="1" applyBorder="1" applyAlignment="1">
      <alignment horizontal="left"/>
    </xf>
    <xf numFmtId="164" fontId="4" fillId="2" borderId="1" xfId="29" applyFont="1" applyFill="1" applyBorder="1" applyAlignment="1">
      <alignment horizontal="center" vertical="center"/>
    </xf>
    <xf numFmtId="164" fontId="4" fillId="2" borderId="1" xfId="29" applyFont="1" applyFill="1" applyBorder="1" applyAlignment="1">
      <alignment horizontal="right" vertical="center"/>
    </xf>
    <xf numFmtId="0" fontId="3" fillId="2" borderId="1" xfId="0" applyFont="1" applyFill="1" applyBorder="1"/>
    <xf numFmtId="10" fontId="4" fillId="2" borderId="1" xfId="28" applyNumberFormat="1" applyFont="1" applyFill="1" applyBorder="1" applyAlignment="1">
      <alignment horizontal="center" vertical="center"/>
    </xf>
    <xf numFmtId="9" fontId="4" fillId="0" borderId="0" xfId="0" applyNumberFormat="1" applyFont="1" applyFill="1"/>
    <xf numFmtId="10" fontId="4" fillId="0" borderId="0" xfId="0" applyNumberFormat="1" applyFont="1" applyFill="1"/>
    <xf numFmtId="0" fontId="3" fillId="2" borderId="1" xfId="27" quotePrefix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7" fillId="0" borderId="2" xfId="27" applyFont="1" applyFill="1" applyBorder="1" applyAlignment="1">
      <alignment horizontal="left" vertical="center"/>
    </xf>
    <xf numFmtId="4" fontId="8" fillId="0" borderId="3" xfId="27" applyNumberFormat="1" applyFont="1" applyFill="1" applyBorder="1" applyAlignment="1">
      <alignment horizontal="center" vertical="center" wrapText="1"/>
    </xf>
    <xf numFmtId="49" fontId="7" fillId="0" borderId="4" xfId="29" applyNumberFormat="1" applyFont="1" applyFill="1" applyBorder="1" applyAlignment="1">
      <alignment horizontal="right" vertical="center"/>
    </xf>
    <xf numFmtId="0" fontId="7" fillId="0" borderId="3" xfId="27" applyFont="1" applyFill="1" applyBorder="1" applyAlignment="1">
      <alignment horizontal="center" vertical="center" wrapText="1"/>
    </xf>
    <xf numFmtId="164" fontId="4" fillId="0" borderId="3" xfId="29" applyFont="1" applyFill="1" applyBorder="1" applyAlignment="1">
      <alignment horizontal="center" vertical="center"/>
    </xf>
    <xf numFmtId="0" fontId="4" fillId="2" borderId="1" xfId="27" quotePrefix="1" applyNumberFormat="1" applyFont="1" applyFill="1" applyBorder="1" applyAlignment="1">
      <alignment horizontal="center" vertical="center"/>
    </xf>
    <xf numFmtId="0" fontId="4" fillId="2" borderId="1" xfId="27" quotePrefix="1" applyNumberFormat="1" applyFont="1" applyFill="1" applyBorder="1" applyAlignment="1">
      <alignment horizontal="left" vertical="center"/>
    </xf>
    <xf numFmtId="0" fontId="4" fillId="0" borderId="0" xfId="0" applyFont="1" applyFill="1" applyBorder="1"/>
    <xf numFmtId="164" fontId="4" fillId="0" borderId="0" xfId="29" applyFont="1" applyFill="1" applyBorder="1" applyAlignment="1">
      <alignment horizontal="center" vertical="center"/>
    </xf>
    <xf numFmtId="4" fontId="4" fillId="0" borderId="0" xfId="29" applyNumberFormat="1" applyFont="1" applyFill="1" applyBorder="1" applyAlignment="1">
      <alignment horizontal="center"/>
    </xf>
    <xf numFmtId="164" fontId="4" fillId="0" borderId="0" xfId="29" applyFont="1" applyFill="1" applyBorder="1" applyAlignment="1">
      <alignment horizontal="right"/>
    </xf>
    <xf numFmtId="164" fontId="3" fillId="0" borderId="0" xfId="29" applyFont="1" applyFill="1" applyBorder="1" applyAlignment="1">
      <alignment horizontal="center" vertical="center"/>
    </xf>
    <xf numFmtId="9" fontId="4" fillId="2" borderId="1" xfId="28" applyFont="1" applyFill="1" applyBorder="1" applyAlignment="1">
      <alignment horizontal="center" vertical="center"/>
    </xf>
    <xf numFmtId="164" fontId="12" fillId="0" borderId="5" xfId="29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4" fontId="12" fillId="0" borderId="1" xfId="29" applyFont="1" applyFill="1" applyBorder="1" applyAlignment="1">
      <alignment horizontal="center" vertical="center"/>
    </xf>
    <xf numFmtId="164" fontId="12" fillId="0" borderId="1" xfId="29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164" fontId="12" fillId="0" borderId="1" xfId="29" applyFont="1" applyFill="1" applyBorder="1" applyAlignment="1">
      <alignment horizontal="right" vertical="center"/>
    </xf>
    <xf numFmtId="1" fontId="11" fillId="4" borderId="6" xfId="0" applyNumberFormat="1" applyFont="1" applyFill="1" applyBorder="1" applyAlignment="1" applyProtection="1">
      <alignment horizontal="center" vertical="center"/>
      <protection locked="0"/>
    </xf>
    <xf numFmtId="165" fontId="11" fillId="4" borderId="1" xfId="0" applyNumberFormat="1" applyFont="1" applyFill="1" applyBorder="1" applyAlignment="1" applyProtection="1">
      <alignment horizontal="center" vertical="center"/>
      <protection locked="0"/>
    </xf>
    <xf numFmtId="0" fontId="11" fillId="4" borderId="2" xfId="0" applyFont="1" applyFill="1" applyBorder="1" applyAlignment="1" applyProtection="1">
      <alignment vertical="center"/>
    </xf>
    <xf numFmtId="0" fontId="11" fillId="4" borderId="1" xfId="0" applyFont="1" applyFill="1" applyBorder="1" applyAlignment="1" applyProtection="1">
      <alignment horizontal="center" vertical="center"/>
    </xf>
    <xf numFmtId="164" fontId="11" fillId="4" borderId="1" xfId="29" applyFont="1" applyFill="1" applyBorder="1" applyAlignment="1" applyProtection="1">
      <alignment horizontal="center" vertical="center"/>
    </xf>
    <xf numFmtId="0" fontId="11" fillId="4" borderId="1" xfId="0" applyFont="1" applyFill="1" applyBorder="1" applyAlignment="1" applyProtection="1">
      <alignment vertical="center"/>
    </xf>
    <xf numFmtId="2" fontId="11" fillId="4" borderId="1" xfId="0" applyNumberFormat="1" applyFont="1" applyFill="1" applyBorder="1" applyAlignment="1" applyProtection="1">
      <alignment horizontal="center" vertical="center"/>
    </xf>
    <xf numFmtId="164" fontId="12" fillId="4" borderId="1" xfId="29" applyFont="1" applyFill="1" applyBorder="1" applyAlignment="1">
      <alignment vertical="center"/>
    </xf>
    <xf numFmtId="0" fontId="11" fillId="4" borderId="6" xfId="27" applyNumberFormat="1" applyFont="1" applyFill="1" applyBorder="1" applyAlignment="1">
      <alignment horizontal="center" vertical="center"/>
    </xf>
    <xf numFmtId="0" fontId="11" fillId="4" borderId="1" xfId="27" applyNumberFormat="1" applyFont="1" applyFill="1" applyBorder="1" applyAlignment="1">
      <alignment horizontal="center" vertical="center"/>
    </xf>
    <xf numFmtId="4" fontId="12" fillId="4" borderId="1" xfId="27" applyNumberFormat="1" applyFont="1" applyFill="1" applyBorder="1" applyAlignment="1">
      <alignment horizontal="center" vertical="center"/>
    </xf>
    <xf numFmtId="164" fontId="12" fillId="4" borderId="1" xfId="29" applyFont="1" applyFill="1" applyBorder="1" applyAlignment="1">
      <alignment horizontal="center" vertical="center"/>
    </xf>
    <xf numFmtId="4" fontId="12" fillId="4" borderId="1" xfId="29" applyNumberFormat="1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/>
    </xf>
    <xf numFmtId="0" fontId="11" fillId="4" borderId="6" xfId="27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4" fontId="12" fillId="4" borderId="1" xfId="29" applyFont="1" applyFill="1" applyBorder="1" applyAlignment="1">
      <alignment horizontal="right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7" fillId="0" borderId="2" xfId="27" applyFont="1" applyFill="1" applyBorder="1" applyAlignment="1">
      <alignment vertical="center"/>
    </xf>
    <xf numFmtId="0" fontId="7" fillId="0" borderId="0" xfId="27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1" fillId="4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164" fontId="12" fillId="0" borderId="0" xfId="29" applyFont="1" applyFill="1" applyAlignment="1">
      <alignment horizontal="center" vertical="center"/>
    </xf>
    <xf numFmtId="4" fontId="12" fillId="4" borderId="9" xfId="0" applyNumberFormat="1" applyFont="1" applyFill="1" applyBorder="1" applyAlignment="1">
      <alignment horizontal="center" vertical="center"/>
    </xf>
    <xf numFmtId="4" fontId="12" fillId="0" borderId="0" xfId="29" applyNumberFormat="1" applyFont="1" applyFill="1" applyAlignment="1">
      <alignment horizontal="center" vertical="center"/>
    </xf>
    <xf numFmtId="164" fontId="12" fillId="0" borderId="0" xfId="29" applyFont="1" applyFill="1" applyAlignment="1">
      <alignment vertical="center"/>
    </xf>
    <xf numFmtId="0" fontId="11" fillId="4" borderId="1" xfId="27" applyFont="1" applyFill="1" applyBorder="1" applyAlignment="1">
      <alignment horizontal="left" vertical="center"/>
    </xf>
    <xf numFmtId="0" fontId="12" fillId="4" borderId="0" xfId="0" applyFont="1" applyFill="1" applyAlignment="1">
      <alignment vertical="center"/>
    </xf>
    <xf numFmtId="0" fontId="11" fillId="4" borderId="6" xfId="27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/>
    </xf>
    <xf numFmtId="164" fontId="11" fillId="4" borderId="1" xfId="29" applyFont="1" applyFill="1" applyBorder="1" applyAlignment="1">
      <alignment vertical="center"/>
    </xf>
    <xf numFmtId="0" fontId="11" fillId="4" borderId="8" xfId="0" applyFont="1" applyFill="1" applyBorder="1" applyAlignment="1">
      <alignment vertical="center"/>
    </xf>
    <xf numFmtId="164" fontId="11" fillId="4" borderId="8" xfId="29" applyFont="1" applyFill="1" applyBorder="1" applyAlignment="1">
      <alignment vertical="center"/>
    </xf>
    <xf numFmtId="164" fontId="11" fillId="5" borderId="10" xfId="29" applyFont="1" applyFill="1" applyBorder="1" applyAlignment="1">
      <alignment vertical="center"/>
    </xf>
    <xf numFmtId="0" fontId="7" fillId="0" borderId="0" xfId="27" applyFont="1" applyFill="1" applyBorder="1" applyAlignment="1">
      <alignment horizontal="left" vertical="center"/>
    </xf>
    <xf numFmtId="0" fontId="12" fillId="0" borderId="0" xfId="0" applyFont="1" applyFill="1" applyAlignment="1">
      <alignment vertical="center" wrapText="1"/>
    </xf>
    <xf numFmtId="0" fontId="12" fillId="0" borderId="0" xfId="0" applyFont="1" applyAlignment="1">
      <alignment vertical="center" wrapText="1"/>
    </xf>
    <xf numFmtId="0" fontId="11" fillId="0" borderId="11" xfId="27" applyFont="1" applyFill="1" applyBorder="1" applyAlignment="1">
      <alignment vertical="center"/>
    </xf>
    <xf numFmtId="0" fontId="24" fillId="4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Fill="1" applyAlignment="1">
      <alignment vertical="center"/>
    </xf>
    <xf numFmtId="0" fontId="11" fillId="4" borderId="6" xfId="0" applyFont="1" applyFill="1" applyBorder="1" applyAlignment="1">
      <alignment horizontal="center" vertical="center" wrapText="1"/>
    </xf>
    <xf numFmtId="4" fontId="12" fillId="4" borderId="12" xfId="0" applyNumberFormat="1" applyFont="1" applyFill="1" applyBorder="1" applyAlignment="1">
      <alignment horizontal="center" vertical="center"/>
    </xf>
    <xf numFmtId="0" fontId="12" fillId="0" borderId="1" xfId="2" applyFont="1" applyBorder="1" applyAlignment="1">
      <alignment horizontal="center" vertical="center" wrapText="1"/>
    </xf>
    <xf numFmtId="0" fontId="13" fillId="0" borderId="0" xfId="0" applyFont="1" applyFill="1"/>
    <xf numFmtId="164" fontId="12" fillId="0" borderId="1" xfId="29" applyFont="1" applyFill="1" applyBorder="1" applyAlignment="1">
      <alignment horizontal="right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/>
    <xf numFmtId="164" fontId="3" fillId="6" borderId="1" xfId="29" applyFont="1" applyFill="1" applyBorder="1" applyAlignment="1">
      <alignment horizontal="center" vertical="center"/>
    </xf>
    <xf numFmtId="10" fontId="3" fillId="7" borderId="1" xfId="28" applyNumberFormat="1" applyFont="1" applyFill="1" applyBorder="1" applyAlignment="1">
      <alignment horizontal="center" vertical="center"/>
    </xf>
    <xf numFmtId="164" fontId="3" fillId="6" borderId="1" xfId="29" applyFont="1" applyFill="1" applyBorder="1" applyAlignment="1">
      <alignment horizontal="center"/>
    </xf>
    <xf numFmtId="9" fontId="3" fillId="6" borderId="1" xfId="28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2" xfId="27" applyFont="1" applyFill="1" applyBorder="1" applyAlignment="1">
      <alignment horizontal="center" vertical="center" wrapText="1"/>
    </xf>
    <xf numFmtId="164" fontId="3" fillId="6" borderId="12" xfId="29" applyFont="1" applyFill="1" applyBorder="1" applyAlignment="1">
      <alignment horizontal="center" vertical="center" wrapText="1"/>
    </xf>
    <xf numFmtId="4" fontId="3" fillId="6" borderId="12" xfId="29" applyNumberFormat="1" applyFont="1" applyFill="1" applyBorder="1" applyAlignment="1">
      <alignment horizontal="center" vertical="center" wrapText="1"/>
    </xf>
    <xf numFmtId="0" fontId="3" fillId="6" borderId="1" xfId="0" applyFont="1" applyFill="1" applyBorder="1"/>
    <xf numFmtId="10" fontId="4" fillId="7" borderId="1" xfId="28" applyNumberFormat="1" applyFont="1" applyFill="1" applyBorder="1" applyAlignment="1">
      <alignment horizontal="center" vertical="center"/>
    </xf>
    <xf numFmtId="2" fontId="4" fillId="7" borderId="1" xfId="29" applyNumberFormat="1" applyFont="1" applyFill="1" applyBorder="1" applyAlignment="1">
      <alignment horizontal="right" vertical="center"/>
    </xf>
    <xf numFmtId="164" fontId="4" fillId="7" borderId="1" xfId="29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4" fontId="3" fillId="6" borderId="1" xfId="29" applyNumberFormat="1" applyFont="1" applyFill="1" applyBorder="1" applyAlignment="1">
      <alignment horizontal="center"/>
    </xf>
    <xf numFmtId="164" fontId="3" fillId="6" borderId="1" xfId="29" applyFont="1" applyFill="1" applyBorder="1" applyAlignment="1">
      <alignment horizontal="right"/>
    </xf>
    <xf numFmtId="164" fontId="3" fillId="7" borderId="1" xfId="29" applyFont="1" applyFill="1" applyBorder="1" applyAlignment="1">
      <alignment horizontal="center" vertical="center"/>
    </xf>
    <xf numFmtId="0" fontId="4" fillId="2" borderId="12" xfId="27" quotePrefix="1" applyNumberFormat="1" applyFont="1" applyFill="1" applyBorder="1" applyAlignment="1">
      <alignment horizontal="center" vertical="center"/>
    </xf>
    <xf numFmtId="0" fontId="4" fillId="2" borderId="12" xfId="27" quotePrefix="1" applyNumberFormat="1" applyFont="1" applyFill="1" applyBorder="1" applyAlignment="1">
      <alignment horizontal="left" vertical="center"/>
    </xf>
    <xf numFmtId="164" fontId="4" fillId="2" borderId="12" xfId="29" applyFont="1" applyFill="1" applyBorder="1" applyAlignment="1">
      <alignment horizontal="center" vertical="center"/>
    </xf>
    <xf numFmtId="10" fontId="4" fillId="2" borderId="12" xfId="28" applyNumberFormat="1" applyFont="1" applyFill="1" applyBorder="1" applyAlignment="1">
      <alignment horizontal="center" vertical="center"/>
    </xf>
    <xf numFmtId="164" fontId="4" fillId="2" borderId="12" xfId="29" applyFont="1" applyFill="1" applyBorder="1" applyAlignment="1">
      <alignment horizontal="right" vertical="center"/>
    </xf>
    <xf numFmtId="9" fontId="4" fillId="2" borderId="12" xfId="28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8" fillId="6" borderId="3" xfId="27" applyFont="1" applyFill="1" applyBorder="1" applyAlignment="1">
      <alignment horizontal="center" vertical="center" wrapText="1"/>
    </xf>
    <xf numFmtId="0" fontId="8" fillId="6" borderId="3" xfId="27" applyFont="1" applyFill="1" applyBorder="1" applyAlignment="1">
      <alignment vertical="center" wrapText="1"/>
    </xf>
    <xf numFmtId="0" fontId="4" fillId="6" borderId="3" xfId="0" applyFont="1" applyFill="1" applyBorder="1"/>
    <xf numFmtId="0" fontId="4" fillId="6" borderId="4" xfId="0" applyFont="1" applyFill="1" applyBorder="1"/>
    <xf numFmtId="164" fontId="12" fillId="0" borderId="0" xfId="29" applyFont="1" applyFill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10" fillId="0" borderId="8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wrapText="1"/>
    </xf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18" fillId="0" borderId="0" xfId="0" applyFont="1" applyFill="1" applyAlignment="1">
      <alignment wrapText="1"/>
    </xf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wrapText="1"/>
    </xf>
    <xf numFmtId="0" fontId="18" fillId="0" borderId="0" xfId="0" applyFont="1" applyFill="1" applyAlignment="1">
      <alignment horizontal="center" wrapText="1"/>
    </xf>
    <xf numFmtId="0" fontId="18" fillId="8" borderId="14" xfId="0" applyFont="1" applyFill="1" applyBorder="1" applyAlignment="1">
      <alignment horizontal="center" vertical="center" wrapText="1"/>
    </xf>
    <xf numFmtId="0" fontId="20" fillId="8" borderId="14" xfId="0" applyFont="1" applyFill="1" applyBorder="1" applyAlignment="1">
      <alignment horizontal="center" vertical="center" wrapText="1"/>
    </xf>
    <xf numFmtId="2" fontId="20" fillId="9" borderId="14" xfId="0" applyNumberFormat="1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center" wrapText="1"/>
    </xf>
    <xf numFmtId="2" fontId="18" fillId="0" borderId="14" xfId="0" applyNumberFormat="1" applyFont="1" applyFill="1" applyBorder="1" applyAlignment="1">
      <alignment horizontal="center" wrapText="1"/>
    </xf>
    <xf numFmtId="0" fontId="20" fillId="10" borderId="14" xfId="0" applyFont="1" applyFill="1" applyBorder="1" applyAlignment="1">
      <alignment horizontal="center" vertical="center"/>
    </xf>
    <xf numFmtId="0" fontId="19" fillId="6" borderId="14" xfId="0" applyFont="1" applyFill="1" applyBorder="1" applyAlignment="1">
      <alignment horizontal="center" vertical="center" wrapText="1"/>
    </xf>
    <xf numFmtId="0" fontId="18" fillId="8" borderId="15" xfId="0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wrapText="1"/>
    </xf>
    <xf numFmtId="0" fontId="1" fillId="0" borderId="0" xfId="0" applyFont="1"/>
    <xf numFmtId="2" fontId="18" fillId="8" borderId="14" xfId="0" applyNumberFormat="1" applyFont="1" applyFill="1" applyBorder="1" applyAlignment="1">
      <alignment horizontal="center" vertical="center" wrapText="1"/>
    </xf>
    <xf numFmtId="0" fontId="19" fillId="6" borderId="14" xfId="0" applyFont="1" applyFill="1" applyBorder="1" applyAlignment="1">
      <alignment horizontal="center" vertical="center" wrapText="1"/>
    </xf>
    <xf numFmtId="0" fontId="18" fillId="8" borderId="0" xfId="0" applyFont="1" applyFill="1" applyBorder="1" applyAlignment="1">
      <alignment vertical="center" wrapText="1"/>
    </xf>
    <xf numFmtId="2" fontId="18" fillId="0" borderId="0" xfId="0" applyNumberFormat="1" applyFont="1" applyFill="1" applyBorder="1" applyAlignment="1">
      <alignment horizontal="center" wrapText="1"/>
    </xf>
    <xf numFmtId="0" fontId="18" fillId="8" borderId="14" xfId="0" applyFont="1" applyFill="1" applyBorder="1" applyAlignment="1">
      <alignment horizontal="center" vertical="center" wrapText="1"/>
    </xf>
    <xf numFmtId="0" fontId="18" fillId="8" borderId="0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2" fontId="18" fillId="8" borderId="16" xfId="0" applyNumberFormat="1" applyFont="1" applyFill="1" applyBorder="1" applyAlignment="1">
      <alignment horizontal="center" vertical="center" wrapText="1"/>
    </xf>
    <xf numFmtId="2" fontId="18" fillId="8" borderId="1" xfId="0" applyNumberFormat="1" applyFont="1" applyFill="1" applyBorder="1" applyAlignment="1">
      <alignment horizontal="center" vertical="center" wrapText="1"/>
    </xf>
    <xf numFmtId="2" fontId="18" fillId="8" borderId="8" xfId="0" applyNumberFormat="1" applyFont="1" applyFill="1" applyBorder="1" applyAlignment="1">
      <alignment horizontal="center" vertical="center" wrapText="1"/>
    </xf>
    <xf numFmtId="0" fontId="20" fillId="8" borderId="15" xfId="0" applyFont="1" applyFill="1" applyBorder="1" applyAlignment="1">
      <alignment horizontal="center" vertical="center" wrapText="1"/>
    </xf>
    <xf numFmtId="2" fontId="20" fillId="9" borderId="15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8" fillId="8" borderId="14" xfId="0" applyFont="1" applyFill="1" applyBorder="1" applyAlignment="1">
      <alignment horizontal="center" vertical="center" wrapText="1"/>
    </xf>
    <xf numFmtId="168" fontId="18" fillId="8" borderId="14" xfId="0" applyNumberFormat="1" applyFont="1" applyFill="1" applyBorder="1" applyAlignment="1">
      <alignment horizontal="center" vertical="center" wrapText="1"/>
    </xf>
    <xf numFmtId="2" fontId="18" fillId="11" borderId="14" xfId="0" applyNumberFormat="1" applyFont="1" applyFill="1" applyBorder="1" applyAlignment="1">
      <alignment horizontal="center" vertical="center" wrapText="1"/>
    </xf>
    <xf numFmtId="0" fontId="18" fillId="8" borderId="17" xfId="0" applyFont="1" applyFill="1" applyBorder="1" applyAlignment="1">
      <alignment vertical="center" wrapText="1"/>
    </xf>
    <xf numFmtId="2" fontId="18" fillId="0" borderId="17" xfId="0" applyNumberFormat="1" applyFont="1" applyFill="1" applyBorder="1" applyAlignment="1">
      <alignment horizontal="center" wrapText="1"/>
    </xf>
    <xf numFmtId="0" fontId="18" fillId="8" borderId="14" xfId="0" applyFont="1" applyFill="1" applyBorder="1" applyAlignment="1">
      <alignment horizontal="center" wrapText="1"/>
    </xf>
    <xf numFmtId="2" fontId="18" fillId="8" borderId="14" xfId="0" applyNumberFormat="1" applyFont="1" applyFill="1" applyBorder="1" applyAlignment="1">
      <alignment horizontal="center" wrapText="1"/>
    </xf>
    <xf numFmtId="2" fontId="18" fillId="12" borderId="14" xfId="0" applyNumberFormat="1" applyFont="1" applyFill="1" applyBorder="1" applyAlignment="1">
      <alignment horizontal="center" vertical="center" wrapText="1"/>
    </xf>
    <xf numFmtId="0" fontId="18" fillId="12" borderId="14" xfId="0" applyFont="1" applyFill="1" applyBorder="1" applyAlignment="1">
      <alignment horizontal="center" vertical="center" wrapText="1"/>
    </xf>
    <xf numFmtId="167" fontId="0" fillId="0" borderId="0" xfId="0" applyNumberFormat="1"/>
    <xf numFmtId="168" fontId="18" fillId="8" borderId="14" xfId="0" applyNumberFormat="1" applyFont="1" applyFill="1" applyBorder="1" applyAlignment="1">
      <alignment horizontal="center" wrapText="1"/>
    </xf>
    <xf numFmtId="168" fontId="18" fillId="12" borderId="14" xfId="0" applyNumberFormat="1" applyFont="1" applyFill="1" applyBorder="1" applyAlignment="1">
      <alignment horizontal="center" vertical="center" wrapText="1"/>
    </xf>
    <xf numFmtId="0" fontId="1" fillId="13" borderId="0" xfId="0" applyFont="1" applyFill="1"/>
    <xf numFmtId="168" fontId="18" fillId="11" borderId="14" xfId="0" applyNumberFormat="1" applyFont="1" applyFill="1" applyBorder="1" applyAlignment="1">
      <alignment horizontal="center" vertical="center" wrapText="1"/>
    </xf>
    <xf numFmtId="168" fontId="18" fillId="8" borderId="0" xfId="0" applyNumberFormat="1" applyFont="1" applyFill="1" applyBorder="1" applyAlignment="1">
      <alignment horizontal="center" vertical="center" wrapText="1"/>
    </xf>
    <xf numFmtId="2" fontId="18" fillId="8" borderId="0" xfId="0" applyNumberFormat="1" applyFont="1" applyFill="1" applyBorder="1" applyAlignment="1">
      <alignment horizontal="center" vertical="center" wrapText="1"/>
    </xf>
    <xf numFmtId="0" fontId="18" fillId="8" borderId="0" xfId="0" applyFont="1" applyFill="1" applyBorder="1" applyAlignment="1">
      <alignment horizontal="center" wrapText="1"/>
    </xf>
    <xf numFmtId="0" fontId="18" fillId="8" borderId="18" xfId="0" applyFont="1" applyFill="1" applyBorder="1" applyAlignment="1">
      <alignment horizontal="center" wrapText="1"/>
    </xf>
    <xf numFmtId="0" fontId="18" fillId="8" borderId="19" xfId="0" applyFont="1" applyFill="1" applyBorder="1" applyAlignment="1">
      <alignment horizontal="center" wrapText="1"/>
    </xf>
    <xf numFmtId="2" fontId="18" fillId="8" borderId="19" xfId="0" applyNumberFormat="1" applyFont="1" applyFill="1" applyBorder="1" applyAlignment="1">
      <alignment horizontal="center" wrapText="1"/>
    </xf>
    <xf numFmtId="2" fontId="18" fillId="8" borderId="18" xfId="0" applyNumberFormat="1" applyFont="1" applyFill="1" applyBorder="1" applyAlignment="1">
      <alignment horizontal="center" wrapText="1"/>
    </xf>
    <xf numFmtId="2" fontId="18" fillId="8" borderId="0" xfId="0" applyNumberFormat="1" applyFont="1" applyFill="1" applyBorder="1" applyAlignment="1">
      <alignment horizontal="center" wrapText="1"/>
    </xf>
    <xf numFmtId="167" fontId="18" fillId="8" borderId="14" xfId="0" applyNumberFormat="1" applyFont="1" applyFill="1" applyBorder="1" applyAlignment="1">
      <alignment horizontal="center" wrapText="1"/>
    </xf>
    <xf numFmtId="0" fontId="0" fillId="8" borderId="0" xfId="0" applyFill="1"/>
    <xf numFmtId="0" fontId="1" fillId="8" borderId="0" xfId="0" applyFont="1" applyFill="1"/>
    <xf numFmtId="2" fontId="18" fillId="8" borderId="20" xfId="0" applyNumberFormat="1" applyFont="1" applyFill="1" applyBorder="1" applyAlignment="1">
      <alignment horizontal="center" wrapText="1"/>
    </xf>
    <xf numFmtId="0" fontId="18" fillId="8" borderId="16" xfId="0" applyFont="1" applyFill="1" applyBorder="1" applyAlignment="1">
      <alignment horizontal="center" wrapText="1"/>
    </xf>
    <xf numFmtId="2" fontId="18" fillId="8" borderId="16" xfId="0" applyNumberFormat="1" applyFont="1" applyFill="1" applyBorder="1" applyAlignment="1">
      <alignment horizontal="center" wrapText="1"/>
    </xf>
    <xf numFmtId="0" fontId="18" fillId="8" borderId="1" xfId="0" applyFont="1" applyFill="1" applyBorder="1" applyAlignment="1">
      <alignment horizontal="center" wrapText="1"/>
    </xf>
    <xf numFmtId="2" fontId="18" fillId="8" borderId="1" xfId="0" applyNumberFormat="1" applyFont="1" applyFill="1" applyBorder="1" applyAlignment="1">
      <alignment horizontal="center" wrapText="1"/>
    </xf>
    <xf numFmtId="0" fontId="18" fillId="8" borderId="8" xfId="0" applyFont="1" applyFill="1" applyBorder="1" applyAlignment="1">
      <alignment horizontal="center" wrapText="1"/>
    </xf>
    <xf numFmtId="2" fontId="18" fillId="8" borderId="8" xfId="0" applyNumberFormat="1" applyFont="1" applyFill="1" applyBorder="1" applyAlignment="1">
      <alignment horizontal="center" wrapText="1"/>
    </xf>
    <xf numFmtId="2" fontId="18" fillId="8" borderId="14" xfId="0" applyNumberFormat="1" applyFont="1" applyFill="1" applyBorder="1" applyAlignment="1">
      <alignment wrapText="1"/>
    </xf>
    <xf numFmtId="168" fontId="18" fillId="8" borderId="21" xfId="0" applyNumberFormat="1" applyFont="1" applyFill="1" applyBorder="1" applyAlignment="1">
      <alignment horizontal="center" vertical="center" wrapText="1"/>
    </xf>
    <xf numFmtId="168" fontId="18" fillId="8" borderId="6" xfId="0" applyNumberFormat="1" applyFont="1" applyFill="1" applyBorder="1" applyAlignment="1">
      <alignment horizontal="center" vertical="center" wrapText="1"/>
    </xf>
    <xf numFmtId="168" fontId="18" fillId="8" borderId="7" xfId="0" applyNumberFormat="1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wrapText="1"/>
    </xf>
    <xf numFmtId="166" fontId="18" fillId="8" borderId="14" xfId="0" applyNumberFormat="1" applyFont="1" applyFill="1" applyBorder="1" applyAlignment="1">
      <alignment horizontal="center" wrapText="1"/>
    </xf>
    <xf numFmtId="2" fontId="18" fillId="8" borderId="14" xfId="0" applyNumberFormat="1" applyFont="1" applyFill="1" applyBorder="1" applyAlignment="1">
      <alignment horizontal="center" vertical="center" wrapText="1"/>
    </xf>
    <xf numFmtId="4" fontId="25" fillId="8" borderId="14" xfId="0" applyNumberFormat="1" applyFont="1" applyFill="1" applyBorder="1" applyAlignment="1">
      <alignment horizontal="center"/>
    </xf>
    <xf numFmtId="4" fontId="25" fillId="8" borderId="14" xfId="0" applyNumberFormat="1" applyFont="1" applyFill="1" applyBorder="1" applyAlignment="1"/>
    <xf numFmtId="0" fontId="1" fillId="12" borderId="0" xfId="0" applyFont="1" applyFill="1"/>
    <xf numFmtId="0" fontId="18" fillId="12" borderId="15" xfId="0" applyFont="1" applyFill="1" applyBorder="1" applyAlignment="1">
      <alignment horizontal="center" vertical="center" wrapText="1"/>
    </xf>
    <xf numFmtId="0" fontId="20" fillId="12" borderId="14" xfId="0" applyFont="1" applyFill="1" applyBorder="1" applyAlignment="1">
      <alignment horizontal="center" vertical="center"/>
    </xf>
    <xf numFmtId="0" fontId="18" fillId="12" borderId="14" xfId="0" applyFont="1" applyFill="1" applyBorder="1" applyAlignment="1">
      <alignment horizontal="left" vertical="center" wrapText="1"/>
    </xf>
    <xf numFmtId="0" fontId="20" fillId="12" borderId="14" xfId="0" applyFont="1" applyFill="1" applyBorder="1" applyAlignment="1">
      <alignment horizontal="center" vertical="center" wrapText="1"/>
    </xf>
    <xf numFmtId="2" fontId="20" fillId="12" borderId="14" xfId="0" applyNumberFormat="1" applyFont="1" applyFill="1" applyBorder="1" applyAlignment="1">
      <alignment horizontal="center" vertical="center" wrapText="1"/>
    </xf>
    <xf numFmtId="2" fontId="18" fillId="8" borderId="14" xfId="0" applyNumberFormat="1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horizontal="center" vertical="center" wrapText="1"/>
    </xf>
    <xf numFmtId="0" fontId="18" fillId="8" borderId="0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8" borderId="1" xfId="0" applyFont="1" applyFill="1" applyBorder="1" applyAlignment="1">
      <alignment horizontal="left" vertical="center" wrapText="1"/>
    </xf>
    <xf numFmtId="164" fontId="12" fillId="8" borderId="1" xfId="29" applyFont="1" applyFill="1" applyBorder="1" applyAlignment="1">
      <alignment horizontal="center" vertical="center"/>
    </xf>
    <xf numFmtId="0" fontId="18" fillId="8" borderId="14" xfId="0" applyFont="1" applyFill="1" applyBorder="1" applyAlignment="1">
      <alignment horizontal="center" wrapText="1"/>
    </xf>
    <xf numFmtId="0" fontId="18" fillId="8" borderId="14" xfId="0" applyFont="1" applyFill="1" applyBorder="1" applyAlignment="1">
      <alignment horizontal="center" vertical="center" wrapText="1"/>
    </xf>
    <xf numFmtId="44" fontId="11" fillId="4" borderId="1" xfId="1" applyFont="1" applyFill="1" applyBorder="1" applyAlignment="1" applyProtection="1">
      <alignment horizontal="center" vertical="center"/>
    </xf>
    <xf numFmtId="44" fontId="11" fillId="4" borderId="10" xfId="1" applyFont="1" applyFill="1" applyBorder="1" applyAlignment="1">
      <alignment horizontal="right" vertical="center"/>
    </xf>
    <xf numFmtId="44" fontId="12" fillId="0" borderId="1" xfId="1" applyFont="1" applyFill="1" applyBorder="1" applyAlignment="1">
      <alignment horizontal="center" vertical="center"/>
    </xf>
    <xf numFmtId="0" fontId="0" fillId="0" borderId="14" xfId="0" applyBorder="1"/>
    <xf numFmtId="167" fontId="18" fillId="8" borderId="16" xfId="0" applyNumberFormat="1" applyFont="1" applyFill="1" applyBorder="1" applyAlignment="1">
      <alignment horizontal="center" wrapText="1"/>
    </xf>
    <xf numFmtId="2" fontId="18" fillId="8" borderId="16" xfId="0" applyNumberFormat="1" applyFont="1" applyFill="1" applyBorder="1" applyAlignment="1">
      <alignment wrapText="1"/>
    </xf>
    <xf numFmtId="167" fontId="18" fillId="8" borderId="1" xfId="0" applyNumberFormat="1" applyFont="1" applyFill="1" applyBorder="1" applyAlignment="1">
      <alignment horizontal="center" wrapText="1"/>
    </xf>
    <xf numFmtId="2" fontId="18" fillId="8" borderId="1" xfId="0" applyNumberFormat="1" applyFont="1" applyFill="1" applyBorder="1" applyAlignment="1">
      <alignment wrapText="1"/>
    </xf>
    <xf numFmtId="167" fontId="18" fillId="8" borderId="8" xfId="0" applyNumberFormat="1" applyFont="1" applyFill="1" applyBorder="1" applyAlignment="1">
      <alignment horizontal="center" wrapText="1"/>
    </xf>
    <xf numFmtId="2" fontId="18" fillId="8" borderId="8" xfId="0" applyNumberFormat="1" applyFont="1" applyFill="1" applyBorder="1" applyAlignment="1">
      <alignment wrapText="1"/>
    </xf>
    <xf numFmtId="0" fontId="0" fillId="0" borderId="0" xfId="0" applyBorder="1"/>
    <xf numFmtId="4" fontId="12" fillId="8" borderId="1" xfId="0" applyNumberFormat="1" applyFont="1" applyFill="1" applyBorder="1" applyAlignment="1">
      <alignment horizontal="center" vertical="center" wrapText="1"/>
    </xf>
    <xf numFmtId="2" fontId="18" fillId="9" borderId="22" xfId="0" applyNumberFormat="1" applyFont="1" applyFill="1" applyBorder="1" applyAlignment="1">
      <alignment horizontal="center" vertical="center" wrapText="1"/>
    </xf>
    <xf numFmtId="168" fontId="22" fillId="8" borderId="0" xfId="0" applyNumberFormat="1" applyFont="1" applyFill="1" applyBorder="1" applyAlignment="1">
      <alignment horizontal="center" vertical="center"/>
    </xf>
    <xf numFmtId="2" fontId="22" fillId="8" borderId="0" xfId="0" applyNumberFormat="1" applyFont="1" applyFill="1" applyBorder="1" applyAlignment="1">
      <alignment horizontal="center" vertical="center"/>
    </xf>
    <xf numFmtId="167" fontId="22" fillId="8" borderId="0" xfId="0" applyNumberFormat="1" applyFont="1" applyFill="1" applyBorder="1" applyAlignment="1">
      <alignment horizontal="center" vertical="center"/>
    </xf>
    <xf numFmtId="167" fontId="18" fillId="8" borderId="0" xfId="0" applyNumberFormat="1" applyFont="1" applyFill="1" applyBorder="1" applyAlignment="1">
      <alignment horizontal="center" vertical="center" wrapText="1"/>
    </xf>
    <xf numFmtId="44" fontId="12" fillId="0" borderId="10" xfId="1" applyFont="1" applyFill="1" applyBorder="1" applyAlignment="1">
      <alignment horizontal="left" vertical="center" wrapText="1"/>
    </xf>
    <xf numFmtId="44" fontId="12" fillId="0" borderId="1" xfId="1" applyFont="1" applyFill="1" applyBorder="1" applyAlignment="1">
      <alignment horizontal="center" vertical="center" wrapText="1"/>
    </xf>
    <xf numFmtId="44" fontId="12" fillId="4" borderId="1" xfId="1" applyFont="1" applyFill="1" applyBorder="1" applyAlignment="1">
      <alignment horizontal="center" vertical="center"/>
    </xf>
    <xf numFmtId="44" fontId="12" fillId="4" borderId="1" xfId="1" applyFont="1" applyFill="1" applyBorder="1" applyAlignment="1">
      <alignment horizontal="center" vertical="center" wrapText="1"/>
    </xf>
    <xf numFmtId="44" fontId="11" fillId="4" borderId="10" xfId="1" applyFont="1" applyFill="1" applyBorder="1" applyAlignment="1">
      <alignment horizontal="left" vertical="center" wrapText="1"/>
    </xf>
    <xf numFmtId="44" fontId="11" fillId="4" borderId="1" xfId="1" applyFont="1" applyFill="1" applyBorder="1" applyAlignment="1">
      <alignment vertical="center"/>
    </xf>
    <xf numFmtId="44" fontId="11" fillId="4" borderId="10" xfId="1" applyFont="1" applyFill="1" applyBorder="1" applyAlignment="1">
      <alignment vertical="center"/>
    </xf>
    <xf numFmtId="44" fontId="11" fillId="4" borderId="8" xfId="1" applyFont="1" applyFill="1" applyBorder="1" applyAlignment="1">
      <alignment vertical="center"/>
    </xf>
    <xf numFmtId="44" fontId="11" fillId="4" borderId="13" xfId="1" applyFont="1" applyFill="1" applyBorder="1" applyAlignment="1">
      <alignment vertical="center"/>
    </xf>
    <xf numFmtId="0" fontId="12" fillId="14" borderId="0" xfId="0" applyFont="1" applyFill="1" applyAlignment="1">
      <alignment vertical="center"/>
    </xf>
    <xf numFmtId="0" fontId="13" fillId="14" borderId="0" xfId="0" applyFont="1" applyFill="1"/>
    <xf numFmtId="0" fontId="12" fillId="8" borderId="1" xfId="0" applyFont="1" applyFill="1" applyBorder="1" applyAlignment="1">
      <alignment horizontal="center" vertical="center" wrapText="1"/>
    </xf>
    <xf numFmtId="44" fontId="12" fillId="8" borderId="1" xfId="1" applyFont="1" applyFill="1" applyBorder="1" applyAlignment="1">
      <alignment horizontal="center" vertical="center" wrapText="1"/>
    </xf>
    <xf numFmtId="44" fontId="12" fillId="8" borderId="10" xfId="1" applyFont="1" applyFill="1" applyBorder="1" applyAlignment="1">
      <alignment horizontal="left" vertical="center" wrapText="1"/>
    </xf>
    <xf numFmtId="0" fontId="12" fillId="8" borderId="0" xfId="0" applyFont="1" applyFill="1" applyAlignment="1">
      <alignment vertical="center"/>
    </xf>
    <xf numFmtId="2" fontId="12" fillId="0" borderId="1" xfId="0" applyNumberFormat="1" applyFont="1" applyFill="1" applyBorder="1" applyAlignment="1">
      <alignment horizontal="right" vertical="center" wrapText="1"/>
    </xf>
    <xf numFmtId="0" fontId="12" fillId="8" borderId="6" xfId="0" applyFont="1" applyFill="1" applyBorder="1" applyAlignment="1">
      <alignment horizontal="center" vertical="center" wrapText="1"/>
    </xf>
    <xf numFmtId="44" fontId="12" fillId="8" borderId="1" xfId="1" applyFont="1" applyFill="1" applyBorder="1" applyAlignment="1">
      <alignment horizontal="center" vertical="center"/>
    </xf>
    <xf numFmtId="4" fontId="12" fillId="8" borderId="1" xfId="0" applyNumberFormat="1" applyFont="1" applyFill="1" applyBorder="1" applyAlignment="1">
      <alignment horizontal="center" vertical="center"/>
    </xf>
    <xf numFmtId="164" fontId="12" fillId="8" borderId="1" xfId="29" applyFont="1" applyFill="1" applyBorder="1" applyAlignment="1">
      <alignment horizontal="center" vertical="center" wrapText="1"/>
    </xf>
    <xf numFmtId="2" fontId="18" fillId="8" borderId="14" xfId="0" applyNumberFormat="1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horizontal="center" wrapText="1"/>
    </xf>
    <xf numFmtId="0" fontId="18" fillId="8" borderId="14" xfId="0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horizontal="center" wrapText="1"/>
    </xf>
    <xf numFmtId="0" fontId="18" fillId="8" borderId="14" xfId="0" applyFont="1" applyFill="1" applyBorder="1" applyAlignment="1">
      <alignment horizontal="center" vertical="center" wrapText="1"/>
    </xf>
    <xf numFmtId="0" fontId="18" fillId="8" borderId="0" xfId="0" applyFont="1" applyFill="1" applyBorder="1" applyAlignment="1">
      <alignment horizontal="center" vertical="center" wrapText="1"/>
    </xf>
    <xf numFmtId="0" fontId="18" fillId="8" borderId="0" xfId="0" applyFont="1" applyFill="1" applyBorder="1" applyAlignment="1">
      <alignment horizontal="center" wrapText="1"/>
    </xf>
    <xf numFmtId="0" fontId="18" fillId="8" borderId="14" xfId="0" applyFont="1" applyFill="1" applyBorder="1" applyAlignment="1">
      <alignment horizontal="center" vertical="center" wrapText="1"/>
    </xf>
    <xf numFmtId="164" fontId="12" fillId="0" borderId="23" xfId="29" applyFont="1" applyFill="1" applyBorder="1" applyAlignment="1">
      <alignment horizontal="center" vertical="center"/>
    </xf>
    <xf numFmtId="168" fontId="18" fillId="8" borderId="24" xfId="0" applyNumberFormat="1" applyFont="1" applyFill="1" applyBorder="1" applyAlignment="1">
      <alignment horizontal="center" vertical="center" wrapText="1"/>
    </xf>
    <xf numFmtId="0" fontId="20" fillId="8" borderId="14" xfId="0" applyFont="1" applyFill="1" applyBorder="1" applyAlignment="1">
      <alignment horizontal="center" vertical="center"/>
    </xf>
    <xf numFmtId="2" fontId="18" fillId="8" borderId="14" xfId="0" applyNumberFormat="1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horizontal="center" wrapText="1"/>
    </xf>
    <xf numFmtId="0" fontId="18" fillId="8" borderId="22" xfId="0" applyFont="1" applyFill="1" applyBorder="1" applyAlignment="1">
      <alignment horizontal="center" wrapText="1"/>
    </xf>
    <xf numFmtId="0" fontId="18" fillId="8" borderId="17" xfId="0" applyFont="1" applyFill="1" applyBorder="1" applyAlignment="1">
      <alignment horizontal="center" wrapText="1"/>
    </xf>
    <xf numFmtId="0" fontId="18" fillId="8" borderId="20" xfId="0" applyFont="1" applyFill="1" applyBorder="1" applyAlignment="1">
      <alignment horizontal="center" wrapText="1"/>
    </xf>
    <xf numFmtId="2" fontId="18" fillId="8" borderId="14" xfId="0" applyNumberFormat="1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horizontal="center" vertical="center" wrapText="1"/>
    </xf>
    <xf numFmtId="0" fontId="18" fillId="8" borderId="0" xfId="0" applyFont="1" applyFill="1" applyBorder="1" applyAlignment="1">
      <alignment horizontal="center" wrapText="1"/>
    </xf>
    <xf numFmtId="164" fontId="12" fillId="8" borderId="1" xfId="29" applyFont="1" applyFill="1" applyBorder="1" applyAlignment="1">
      <alignment horizontal="right" vertical="center"/>
    </xf>
    <xf numFmtId="44" fontId="12" fillId="0" borderId="0" xfId="0" applyNumberFormat="1" applyFont="1" applyFill="1" applyAlignment="1">
      <alignment vertical="center"/>
    </xf>
    <xf numFmtId="0" fontId="12" fillId="8" borderId="6" xfId="27" applyNumberFormat="1" applyFont="1" applyFill="1" applyBorder="1" applyAlignment="1">
      <alignment horizontal="center" vertical="center"/>
    </xf>
    <xf numFmtId="0" fontId="26" fillId="8" borderId="6" xfId="0" applyFont="1" applyFill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center" vertical="center" wrapText="1"/>
    </xf>
    <xf numFmtId="0" fontId="26" fillId="8" borderId="2" xfId="0" applyFont="1" applyFill="1" applyBorder="1" applyAlignment="1">
      <alignment horizontal="left" vertical="center" wrapText="1"/>
    </xf>
    <xf numFmtId="164" fontId="26" fillId="8" borderId="1" xfId="29" applyFont="1" applyFill="1" applyBorder="1" applyAlignment="1">
      <alignment horizontal="center" vertical="center"/>
    </xf>
    <xf numFmtId="44" fontId="26" fillId="8" borderId="2" xfId="1" applyFont="1" applyFill="1" applyBorder="1" applyAlignment="1">
      <alignment horizontal="center" vertical="center"/>
    </xf>
    <xf numFmtId="44" fontId="26" fillId="8" borderId="1" xfId="1" applyFont="1" applyFill="1" applyBorder="1" applyAlignment="1">
      <alignment horizontal="center" vertical="center"/>
    </xf>
    <xf numFmtId="0" fontId="12" fillId="8" borderId="6" xfId="27" applyNumberFormat="1" applyFont="1" applyFill="1" applyBorder="1" applyAlignment="1">
      <alignment horizontal="center" vertical="center" wrapText="1"/>
    </xf>
    <xf numFmtId="4" fontId="12" fillId="8" borderId="1" xfId="29" applyNumberFormat="1" applyFont="1" applyFill="1" applyBorder="1" applyAlignment="1">
      <alignment horizontal="center" vertical="center" wrapText="1"/>
    </xf>
    <xf numFmtId="0" fontId="12" fillId="8" borderId="6" xfId="0" applyFont="1" applyFill="1" applyBorder="1" applyAlignment="1">
      <alignment horizontal="center" vertical="center"/>
    </xf>
    <xf numFmtId="2" fontId="12" fillId="8" borderId="1" xfId="0" applyNumberFormat="1" applyFont="1" applyFill="1" applyBorder="1" applyAlignment="1">
      <alignment horizontal="right" vertical="center" wrapText="1"/>
    </xf>
    <xf numFmtId="0" fontId="12" fillId="8" borderId="1" xfId="2" applyFont="1" applyFill="1" applyBorder="1" applyAlignment="1">
      <alignment horizontal="center" vertical="center" wrapText="1"/>
    </xf>
    <xf numFmtId="44" fontId="11" fillId="4" borderId="0" xfId="0" applyNumberFormat="1" applyFont="1" applyFill="1" applyAlignment="1">
      <alignment vertical="center"/>
    </xf>
    <xf numFmtId="0" fontId="18" fillId="8" borderId="14" xfId="0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horizontal="center" vertical="center" wrapText="1"/>
    </xf>
    <xf numFmtId="164" fontId="3" fillId="0" borderId="0" xfId="29" applyFont="1" applyFill="1" applyBorder="1" applyAlignment="1">
      <alignment horizontal="center" vertical="center"/>
    </xf>
    <xf numFmtId="164" fontId="3" fillId="0" borderId="11" xfId="29" applyFont="1" applyFill="1" applyBorder="1" applyAlignment="1">
      <alignment horizontal="center" vertical="center"/>
    </xf>
    <xf numFmtId="0" fontId="8" fillId="6" borderId="2" xfId="27" applyFont="1" applyFill="1" applyBorder="1" applyAlignment="1">
      <alignment horizontal="center" vertical="center" wrapText="1"/>
    </xf>
    <xf numFmtId="0" fontId="8" fillId="6" borderId="3" xfId="27" applyFont="1" applyFill="1" applyBorder="1" applyAlignment="1">
      <alignment horizontal="center" vertical="center" wrapText="1"/>
    </xf>
    <xf numFmtId="0" fontId="8" fillId="6" borderId="4" xfId="27" applyFont="1" applyFill="1" applyBorder="1" applyAlignment="1">
      <alignment horizontal="center" vertical="center" wrapText="1"/>
    </xf>
    <xf numFmtId="0" fontId="7" fillId="0" borderId="2" xfId="27" applyFont="1" applyFill="1" applyBorder="1" applyAlignment="1">
      <alignment horizontal="left" vertical="center"/>
    </xf>
    <xf numFmtId="0" fontId="7" fillId="0" borderId="3" xfId="27" applyFont="1" applyFill="1" applyBorder="1" applyAlignment="1">
      <alignment horizontal="left" vertical="center"/>
    </xf>
    <xf numFmtId="164" fontId="7" fillId="0" borderId="2" xfId="29" applyFont="1" applyFill="1" applyBorder="1" applyAlignment="1">
      <alignment horizontal="right" vertical="center"/>
    </xf>
    <xf numFmtId="164" fontId="7" fillId="0" borderId="3" xfId="29" applyFont="1" applyFill="1" applyBorder="1" applyAlignment="1">
      <alignment horizontal="right" vertical="center"/>
    </xf>
    <xf numFmtId="164" fontId="7" fillId="0" borderId="4" xfId="29" applyFont="1" applyFill="1" applyBorder="1" applyAlignment="1">
      <alignment horizontal="right" vertical="center"/>
    </xf>
    <xf numFmtId="0" fontId="3" fillId="6" borderId="16" xfId="0" applyFont="1" applyFill="1" applyBorder="1" applyAlignment="1">
      <alignment horizontal="center"/>
    </xf>
    <xf numFmtId="164" fontId="3" fillId="6" borderId="16" xfId="29" applyFont="1" applyFill="1" applyBorder="1" applyAlignment="1">
      <alignment horizontal="center" vertical="center" wrapText="1"/>
    </xf>
    <xf numFmtId="164" fontId="3" fillId="6" borderId="8" xfId="29" applyFont="1" applyFill="1" applyBorder="1" applyAlignment="1">
      <alignment horizontal="center" vertical="center" wrapText="1"/>
    </xf>
    <xf numFmtId="0" fontId="7" fillId="0" borderId="23" xfId="27" applyFont="1" applyFill="1" applyBorder="1" applyAlignment="1">
      <alignment horizontal="left" vertical="center"/>
    </xf>
    <xf numFmtId="0" fontId="7" fillId="0" borderId="0" xfId="27" applyFont="1" applyFill="1" applyBorder="1" applyAlignment="1">
      <alignment horizontal="left" vertical="center"/>
    </xf>
    <xf numFmtId="0" fontId="7" fillId="0" borderId="25" xfId="27" applyFont="1" applyFill="1" applyBorder="1" applyAlignment="1">
      <alignment horizontal="left" vertical="center"/>
    </xf>
    <xf numFmtId="0" fontId="7" fillId="0" borderId="26" xfId="27" applyFont="1" applyFill="1" applyBorder="1" applyAlignment="1">
      <alignment horizontal="left" vertical="center"/>
    </xf>
    <xf numFmtId="0" fontId="3" fillId="6" borderId="27" xfId="0" applyFont="1" applyFill="1" applyBorder="1" applyAlignment="1">
      <alignment horizontal="center"/>
    </xf>
    <xf numFmtId="4" fontId="3" fillId="6" borderId="16" xfId="29" applyNumberFormat="1" applyFont="1" applyFill="1" applyBorder="1" applyAlignment="1">
      <alignment horizontal="center" vertical="center" wrapText="1"/>
    </xf>
    <xf numFmtId="4" fontId="3" fillId="6" borderId="8" xfId="29" applyNumberFormat="1" applyFont="1" applyFill="1" applyBorder="1" applyAlignment="1">
      <alignment horizontal="center" vertical="center" wrapText="1"/>
    </xf>
    <xf numFmtId="0" fontId="3" fillId="6" borderId="16" xfId="27" applyFont="1" applyFill="1" applyBorder="1" applyAlignment="1">
      <alignment horizontal="center" vertical="center" wrapText="1"/>
    </xf>
    <xf numFmtId="0" fontId="3" fillId="6" borderId="8" xfId="27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64" fontId="11" fillId="0" borderId="11" xfId="29" applyFont="1" applyFill="1" applyBorder="1" applyAlignment="1">
      <alignment horizontal="right" vertical="center"/>
    </xf>
    <xf numFmtId="164" fontId="11" fillId="0" borderId="28" xfId="29" applyFont="1" applyFill="1" applyBorder="1" applyAlignment="1">
      <alignment horizontal="right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22" xfId="27" applyFont="1" applyFill="1" applyBorder="1" applyAlignment="1">
      <alignment horizontal="center" vertical="center" wrapText="1"/>
    </xf>
    <xf numFmtId="0" fontId="11" fillId="0" borderId="17" xfId="27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vertical="center"/>
    </xf>
    <xf numFmtId="164" fontId="11" fillId="0" borderId="10" xfId="29" applyFont="1" applyFill="1" applyBorder="1" applyAlignment="1">
      <alignment horizontal="center" vertical="center" wrapText="1"/>
    </xf>
    <xf numFmtId="0" fontId="11" fillId="0" borderId="29" xfId="27" applyFont="1" applyFill="1" applyBorder="1" applyAlignment="1">
      <alignment vertical="center"/>
    </xf>
    <xf numFmtId="0" fontId="11" fillId="0" borderId="11" xfId="27" applyFont="1" applyFill="1" applyBorder="1" applyAlignment="1">
      <alignment vertical="center"/>
    </xf>
    <xf numFmtId="164" fontId="11" fillId="0" borderId="9" xfId="29" applyFont="1" applyFill="1" applyBorder="1" applyAlignment="1">
      <alignment horizontal="center" vertical="center" wrapText="1"/>
    </xf>
    <xf numFmtId="164" fontId="11" fillId="0" borderId="12" xfId="29" applyFont="1" applyFill="1" applyBorder="1" applyAlignment="1">
      <alignment horizontal="center" vertical="center" wrapText="1"/>
    </xf>
    <xf numFmtId="4" fontId="11" fillId="0" borderId="1" xfId="29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164" fontId="11" fillId="0" borderId="1" xfId="29" applyFont="1" applyFill="1" applyBorder="1" applyAlignment="1">
      <alignment horizontal="center" vertical="center" wrapText="1"/>
    </xf>
    <xf numFmtId="0" fontId="11" fillId="0" borderId="1" xfId="27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0" fillId="0" borderId="20" xfId="0" applyBorder="1" applyAlignment="1">
      <alignment horizontal="center"/>
    </xf>
    <xf numFmtId="0" fontId="18" fillId="8" borderId="30" xfId="0" applyFont="1" applyFill="1" applyBorder="1" applyAlignment="1">
      <alignment horizontal="center" vertical="center" wrapText="1"/>
    </xf>
    <xf numFmtId="0" fontId="18" fillId="8" borderId="18" xfId="0" applyFont="1" applyFill="1" applyBorder="1" applyAlignment="1">
      <alignment horizontal="center" vertical="center" wrapText="1"/>
    </xf>
    <xf numFmtId="0" fontId="18" fillId="8" borderId="31" xfId="0" applyFont="1" applyFill="1" applyBorder="1" applyAlignment="1">
      <alignment horizontal="center" vertical="center" wrapText="1"/>
    </xf>
    <xf numFmtId="0" fontId="18" fillId="8" borderId="34" xfId="0" applyFont="1" applyFill="1" applyBorder="1" applyAlignment="1">
      <alignment horizontal="center" vertical="center" wrapText="1"/>
    </xf>
    <xf numFmtId="0" fontId="18" fillId="8" borderId="19" xfId="0" applyFont="1" applyFill="1" applyBorder="1" applyAlignment="1">
      <alignment horizontal="center" vertical="center" wrapText="1"/>
    </xf>
    <xf numFmtId="0" fontId="18" fillId="8" borderId="35" xfId="0" applyFont="1" applyFill="1" applyBorder="1" applyAlignment="1">
      <alignment horizontal="center" vertical="center" wrapText="1"/>
    </xf>
    <xf numFmtId="2" fontId="20" fillId="9" borderId="22" xfId="0" applyNumberFormat="1" applyFont="1" applyFill="1" applyBorder="1" applyAlignment="1">
      <alignment horizontal="center" vertical="center" wrapText="1"/>
    </xf>
    <xf numFmtId="2" fontId="20" fillId="9" borderId="20" xfId="0" applyNumberFormat="1" applyFont="1" applyFill="1" applyBorder="1" applyAlignment="1">
      <alignment horizontal="center" vertical="center" wrapText="1"/>
    </xf>
    <xf numFmtId="0" fontId="20" fillId="8" borderId="22" xfId="0" applyFont="1" applyFill="1" applyBorder="1" applyAlignment="1">
      <alignment horizontal="center" vertical="center" wrapText="1"/>
    </xf>
    <xf numFmtId="0" fontId="20" fillId="8" borderId="17" xfId="0" applyFont="1" applyFill="1" applyBorder="1" applyAlignment="1">
      <alignment horizontal="center" vertical="center" wrapText="1"/>
    </xf>
    <xf numFmtId="0" fontId="20" fillId="8" borderId="20" xfId="0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horizontal="center" wrapText="1"/>
    </xf>
    <xf numFmtId="0" fontId="18" fillId="8" borderId="32" xfId="0" applyFont="1" applyFill="1" applyBorder="1" applyAlignment="1">
      <alignment horizontal="center" vertical="center" wrapText="1"/>
    </xf>
    <xf numFmtId="0" fontId="18" fillId="8" borderId="0" xfId="0" applyFont="1" applyFill="1" applyBorder="1" applyAlignment="1">
      <alignment horizontal="center" vertical="center" wrapText="1"/>
    </xf>
    <xf numFmtId="0" fontId="18" fillId="8" borderId="33" xfId="0" applyFont="1" applyFill="1" applyBorder="1" applyAlignment="1">
      <alignment horizontal="center" vertical="center" wrapText="1"/>
    </xf>
    <xf numFmtId="0" fontId="18" fillId="15" borderId="14" xfId="0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horizontal="center" vertical="center" wrapText="1"/>
    </xf>
    <xf numFmtId="0" fontId="18" fillId="15" borderId="22" xfId="0" applyFont="1" applyFill="1" applyBorder="1" applyAlignment="1">
      <alignment horizontal="center" vertical="center" wrapText="1"/>
    </xf>
    <xf numFmtId="0" fontId="18" fillId="15" borderId="20" xfId="0" applyFont="1" applyFill="1" applyBorder="1" applyAlignment="1">
      <alignment horizontal="center" vertical="center" wrapText="1"/>
    </xf>
    <xf numFmtId="0" fontId="18" fillId="8" borderId="22" xfId="0" applyFont="1" applyFill="1" applyBorder="1" applyAlignment="1">
      <alignment horizontal="center" vertical="center" wrapText="1"/>
    </xf>
    <xf numFmtId="0" fontId="18" fillId="8" borderId="20" xfId="0" applyFont="1" applyFill="1" applyBorder="1" applyAlignment="1">
      <alignment horizontal="center" vertical="center" wrapText="1"/>
    </xf>
    <xf numFmtId="0" fontId="18" fillId="8" borderId="17" xfId="0" applyFont="1" applyFill="1" applyBorder="1" applyAlignment="1">
      <alignment horizontal="center" vertical="center" wrapText="1"/>
    </xf>
    <xf numFmtId="2" fontId="18" fillId="8" borderId="22" xfId="0" applyNumberFormat="1" applyFont="1" applyFill="1" applyBorder="1" applyAlignment="1">
      <alignment horizontal="center" vertical="center" wrapText="1"/>
    </xf>
    <xf numFmtId="2" fontId="18" fillId="8" borderId="17" xfId="0" applyNumberFormat="1" applyFont="1" applyFill="1" applyBorder="1" applyAlignment="1">
      <alignment horizontal="center" vertical="center" wrapText="1"/>
    </xf>
    <xf numFmtId="2" fontId="18" fillId="8" borderId="20" xfId="0" applyNumberFormat="1" applyFont="1" applyFill="1" applyBorder="1" applyAlignment="1">
      <alignment horizontal="center" vertical="center" wrapText="1"/>
    </xf>
    <xf numFmtId="2" fontId="20" fillId="8" borderId="22" xfId="0" applyNumberFormat="1" applyFont="1" applyFill="1" applyBorder="1" applyAlignment="1">
      <alignment horizontal="center" vertical="center" wrapText="1"/>
    </xf>
    <xf numFmtId="2" fontId="20" fillId="8" borderId="17" xfId="0" applyNumberFormat="1" applyFont="1" applyFill="1" applyBorder="1" applyAlignment="1">
      <alignment horizontal="center" vertical="center" wrapText="1"/>
    </xf>
    <xf numFmtId="2" fontId="20" fillId="8" borderId="20" xfId="0" applyNumberFormat="1" applyFont="1" applyFill="1" applyBorder="1" applyAlignment="1">
      <alignment horizontal="center" vertical="center" wrapText="1"/>
    </xf>
    <xf numFmtId="2" fontId="18" fillId="8" borderId="14" xfId="0" applyNumberFormat="1" applyFont="1" applyFill="1" applyBorder="1" applyAlignment="1">
      <alignment horizontal="center" vertical="center" wrapText="1"/>
    </xf>
    <xf numFmtId="0" fontId="18" fillId="15" borderId="15" xfId="0" applyFont="1" applyFill="1" applyBorder="1" applyAlignment="1">
      <alignment horizontal="center" vertical="center" wrapText="1"/>
    </xf>
    <xf numFmtId="0" fontId="18" fillId="15" borderId="49" xfId="0" applyFont="1" applyFill="1" applyBorder="1" applyAlignment="1">
      <alignment horizontal="center" vertical="center" wrapText="1"/>
    </xf>
    <xf numFmtId="0" fontId="18" fillId="8" borderId="22" xfId="0" applyFont="1" applyFill="1" applyBorder="1" applyAlignment="1">
      <alignment horizontal="center" wrapText="1"/>
    </xf>
    <xf numFmtId="0" fontId="18" fillId="8" borderId="17" xfId="0" applyFont="1" applyFill="1" applyBorder="1" applyAlignment="1">
      <alignment horizontal="center" wrapText="1"/>
    </xf>
    <xf numFmtId="0" fontId="18" fillId="8" borderId="20" xfId="0" applyFont="1" applyFill="1" applyBorder="1" applyAlignment="1">
      <alignment horizontal="center" wrapText="1"/>
    </xf>
    <xf numFmtId="168" fontId="18" fillId="8" borderId="22" xfId="0" applyNumberFormat="1" applyFont="1" applyFill="1" applyBorder="1" applyAlignment="1">
      <alignment horizontal="center" wrapText="1"/>
    </xf>
    <xf numFmtId="168" fontId="18" fillId="8" borderId="17" xfId="0" applyNumberFormat="1" applyFont="1" applyFill="1" applyBorder="1" applyAlignment="1">
      <alignment horizontal="center" wrapText="1"/>
    </xf>
    <xf numFmtId="168" fontId="18" fillId="8" borderId="20" xfId="0" applyNumberFormat="1" applyFont="1" applyFill="1" applyBorder="1" applyAlignment="1">
      <alignment horizontal="center" wrapText="1"/>
    </xf>
    <xf numFmtId="168" fontId="18" fillId="8" borderId="22" xfId="0" applyNumberFormat="1" applyFont="1" applyFill="1" applyBorder="1" applyAlignment="1">
      <alignment horizontal="center" vertical="center" wrapText="1"/>
    </xf>
    <xf numFmtId="168" fontId="18" fillId="8" borderId="17" xfId="0" applyNumberFormat="1" applyFont="1" applyFill="1" applyBorder="1" applyAlignment="1">
      <alignment horizontal="center" vertical="center" wrapText="1"/>
    </xf>
    <xf numFmtId="168" fontId="18" fillId="8" borderId="2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8" fillId="12" borderId="14" xfId="0" applyFont="1" applyFill="1" applyBorder="1" applyAlignment="1">
      <alignment horizontal="center" vertical="center" wrapText="1"/>
    </xf>
    <xf numFmtId="0" fontId="20" fillId="12" borderId="22" xfId="0" applyFont="1" applyFill="1" applyBorder="1" applyAlignment="1">
      <alignment horizontal="center" vertical="center" wrapText="1"/>
    </xf>
    <xf numFmtId="0" fontId="20" fillId="12" borderId="17" xfId="0" applyFont="1" applyFill="1" applyBorder="1" applyAlignment="1">
      <alignment horizontal="center" vertical="center" wrapText="1"/>
    </xf>
    <xf numFmtId="0" fontId="20" fillId="12" borderId="2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wrapText="1"/>
    </xf>
    <xf numFmtId="0" fontId="18" fillId="0" borderId="17" xfId="0" applyFont="1" applyFill="1" applyBorder="1" applyAlignment="1">
      <alignment horizontal="center" wrapText="1"/>
    </xf>
    <xf numFmtId="0" fontId="18" fillId="0" borderId="20" xfId="0" applyFont="1" applyFill="1" applyBorder="1" applyAlignment="1">
      <alignment horizontal="center" wrapText="1"/>
    </xf>
    <xf numFmtId="0" fontId="18" fillId="12" borderId="22" xfId="0" applyFont="1" applyFill="1" applyBorder="1" applyAlignment="1">
      <alignment horizontal="center" vertical="center" wrapText="1"/>
    </xf>
    <xf numFmtId="0" fontId="18" fillId="12" borderId="17" xfId="0" applyFont="1" applyFill="1" applyBorder="1" applyAlignment="1">
      <alignment horizontal="center" vertical="center" wrapText="1"/>
    </xf>
    <xf numFmtId="0" fontId="18" fillId="12" borderId="20" xfId="0" applyFont="1" applyFill="1" applyBorder="1" applyAlignment="1">
      <alignment horizontal="center" vertical="center" wrapText="1"/>
    </xf>
    <xf numFmtId="2" fontId="18" fillId="12" borderId="22" xfId="0" applyNumberFormat="1" applyFont="1" applyFill="1" applyBorder="1" applyAlignment="1">
      <alignment horizontal="center" vertical="center" wrapText="1"/>
    </xf>
    <xf numFmtId="2" fontId="18" fillId="12" borderId="17" xfId="0" applyNumberFormat="1" applyFont="1" applyFill="1" applyBorder="1" applyAlignment="1">
      <alignment horizontal="center" vertical="center" wrapText="1"/>
    </xf>
    <xf numFmtId="2" fontId="18" fillId="12" borderId="20" xfId="0" applyNumberFormat="1" applyFont="1" applyFill="1" applyBorder="1" applyAlignment="1">
      <alignment horizontal="center" vertical="center" wrapText="1"/>
    </xf>
    <xf numFmtId="0" fontId="19" fillId="6" borderId="14" xfId="0" applyFont="1" applyFill="1" applyBorder="1" applyAlignment="1">
      <alignment horizontal="center" vertical="center" wrapText="1"/>
    </xf>
    <xf numFmtId="2" fontId="18" fillId="11" borderId="22" xfId="0" applyNumberFormat="1" applyFont="1" applyFill="1" applyBorder="1" applyAlignment="1">
      <alignment horizontal="center" vertical="center" wrapText="1"/>
    </xf>
    <xf numFmtId="2" fontId="18" fillId="11" borderId="17" xfId="0" applyNumberFormat="1" applyFont="1" applyFill="1" applyBorder="1" applyAlignment="1">
      <alignment horizontal="center" vertical="center" wrapText="1"/>
    </xf>
    <xf numFmtId="2" fontId="18" fillId="11" borderId="20" xfId="0" applyNumberFormat="1" applyFont="1" applyFill="1" applyBorder="1" applyAlignment="1">
      <alignment horizontal="center" vertical="center" wrapText="1"/>
    </xf>
    <xf numFmtId="2" fontId="18" fillId="8" borderId="30" xfId="0" applyNumberFormat="1" applyFont="1" applyFill="1" applyBorder="1" applyAlignment="1">
      <alignment horizontal="center" vertical="center" wrapText="1"/>
    </xf>
    <xf numFmtId="2" fontId="18" fillId="8" borderId="18" xfId="0" applyNumberFormat="1" applyFont="1" applyFill="1" applyBorder="1" applyAlignment="1">
      <alignment horizontal="center" vertical="center" wrapText="1"/>
    </xf>
    <xf numFmtId="2" fontId="18" fillId="8" borderId="31" xfId="0" applyNumberFormat="1" applyFont="1" applyFill="1" applyBorder="1" applyAlignment="1">
      <alignment horizontal="center" vertical="center" wrapText="1"/>
    </xf>
    <xf numFmtId="2" fontId="18" fillId="8" borderId="34" xfId="0" applyNumberFormat="1" applyFont="1" applyFill="1" applyBorder="1" applyAlignment="1">
      <alignment horizontal="center" vertical="center" wrapText="1"/>
    </xf>
    <xf numFmtId="2" fontId="18" fillId="8" borderId="19" xfId="0" applyNumberFormat="1" applyFont="1" applyFill="1" applyBorder="1" applyAlignment="1">
      <alignment horizontal="center" vertical="center" wrapText="1"/>
    </xf>
    <xf numFmtId="2" fontId="18" fillId="8" borderId="35" xfId="0" applyNumberFormat="1" applyFont="1" applyFill="1" applyBorder="1" applyAlignment="1">
      <alignment horizontal="center" vertical="center" wrapText="1"/>
    </xf>
    <xf numFmtId="0" fontId="20" fillId="8" borderId="22" xfId="0" applyFont="1" applyFill="1" applyBorder="1" applyAlignment="1">
      <alignment horizontal="center" wrapText="1"/>
    </xf>
    <xf numFmtId="0" fontId="20" fillId="8" borderId="17" xfId="0" applyFont="1" applyFill="1" applyBorder="1" applyAlignment="1">
      <alignment horizontal="center" wrapText="1"/>
    </xf>
    <xf numFmtId="0" fontId="20" fillId="8" borderId="20" xfId="0" applyFont="1" applyFill="1" applyBorder="1" applyAlignment="1">
      <alignment horizont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8" borderId="16" xfId="0" applyFont="1" applyFill="1" applyBorder="1" applyAlignment="1">
      <alignment horizontal="center" vertical="center" wrapText="1"/>
    </xf>
    <xf numFmtId="0" fontId="18" fillId="8" borderId="27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8" fillId="8" borderId="10" xfId="0" applyFont="1" applyFill="1" applyBorder="1" applyAlignment="1">
      <alignment horizontal="center" vertical="center" wrapText="1"/>
    </xf>
    <xf numFmtId="0" fontId="18" fillId="8" borderId="8" xfId="0" applyFont="1" applyFill="1" applyBorder="1" applyAlignment="1">
      <alignment horizontal="center" vertical="center" wrapText="1"/>
    </xf>
    <xf numFmtId="0" fontId="18" fillId="8" borderId="13" xfId="0" applyFont="1" applyFill="1" applyBorder="1" applyAlignment="1">
      <alignment horizontal="center" vertical="center" wrapText="1"/>
    </xf>
    <xf numFmtId="0" fontId="18" fillId="8" borderId="16" xfId="0" applyFont="1" applyFill="1" applyBorder="1" applyAlignment="1">
      <alignment horizontal="center" wrapText="1"/>
    </xf>
    <xf numFmtId="0" fontId="18" fillId="8" borderId="27" xfId="0" applyFont="1" applyFill="1" applyBorder="1" applyAlignment="1">
      <alignment horizontal="center" wrapText="1"/>
    </xf>
    <xf numFmtId="0" fontId="18" fillId="8" borderId="8" xfId="0" applyFont="1" applyFill="1" applyBorder="1" applyAlignment="1">
      <alignment horizontal="center" wrapText="1"/>
    </xf>
    <xf numFmtId="0" fontId="18" fillId="8" borderId="13" xfId="0" applyFont="1" applyFill="1" applyBorder="1" applyAlignment="1">
      <alignment horizont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0" fillId="0" borderId="43" xfId="0" applyNumberFormat="1" applyFont="1" applyBorder="1" applyAlignment="1">
      <alignment horizontal="left" vertical="center" wrapText="1"/>
    </xf>
    <xf numFmtId="0" fontId="10" fillId="0" borderId="12" xfId="0" applyNumberFormat="1" applyFont="1" applyBorder="1" applyAlignment="1">
      <alignment horizontal="left" vertical="center" wrapText="1"/>
    </xf>
    <xf numFmtId="0" fontId="1" fillId="0" borderId="39" xfId="29" applyNumberFormat="1" applyFont="1" applyBorder="1" applyAlignment="1">
      <alignment horizontal="left" vertical="center" wrapText="1"/>
    </xf>
    <xf numFmtId="0" fontId="1" fillId="0" borderId="18" xfId="29" applyNumberFormat="1" applyFont="1" applyBorder="1" applyAlignment="1">
      <alignment horizontal="left" vertical="center" wrapText="1"/>
    </xf>
    <xf numFmtId="0" fontId="1" fillId="0" borderId="31" xfId="29" applyNumberFormat="1" applyFont="1" applyBorder="1" applyAlignment="1">
      <alignment horizontal="left" vertical="center" wrapText="1"/>
    </xf>
    <xf numFmtId="0" fontId="1" fillId="0" borderId="42" xfId="29" applyNumberFormat="1" applyFont="1" applyBorder="1" applyAlignment="1">
      <alignment horizontal="left" vertical="center" wrapText="1"/>
    </xf>
    <xf numFmtId="0" fontId="1" fillId="0" borderId="11" xfId="29" applyNumberFormat="1" applyFont="1" applyBorder="1" applyAlignment="1">
      <alignment horizontal="left" vertical="center" wrapText="1"/>
    </xf>
    <xf numFmtId="0" fontId="1" fillId="0" borderId="28" xfId="29" applyNumberFormat="1" applyFont="1" applyBorder="1" applyAlignment="1">
      <alignment horizontal="left" vertical="center" wrapText="1"/>
    </xf>
    <xf numFmtId="0" fontId="1" fillId="0" borderId="2" xfId="29" applyNumberFormat="1" applyFont="1" applyBorder="1" applyAlignment="1">
      <alignment horizontal="left" vertical="center" wrapText="1"/>
    </xf>
    <xf numFmtId="0" fontId="1" fillId="0" borderId="3" xfId="29" applyNumberFormat="1" applyFont="1" applyBorder="1" applyAlignment="1">
      <alignment horizontal="left" vertical="center" wrapText="1"/>
    </xf>
    <xf numFmtId="0" fontId="1" fillId="0" borderId="44" xfId="29" applyNumberFormat="1" applyFont="1" applyBorder="1" applyAlignment="1">
      <alignment horizontal="left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1" fillId="0" borderId="45" xfId="29" applyNumberFormat="1" applyFont="1" applyBorder="1" applyAlignment="1">
      <alignment horizontal="left" vertical="center" wrapText="1"/>
    </xf>
    <xf numFmtId="0" fontId="1" fillId="0" borderId="47" xfId="29" applyNumberFormat="1" applyFont="1" applyBorder="1" applyAlignment="1">
      <alignment horizontal="left" vertical="center" wrapText="1"/>
    </xf>
    <xf numFmtId="0" fontId="1" fillId="0" borderId="48" xfId="29" applyNumberFormat="1" applyFont="1" applyBorder="1" applyAlignment="1">
      <alignment horizontal="left" vertical="center" wrapText="1"/>
    </xf>
    <xf numFmtId="0" fontId="15" fillId="9" borderId="22" xfId="0" applyFont="1" applyFill="1" applyBorder="1" applyAlignment="1">
      <alignment horizontal="center"/>
    </xf>
    <xf numFmtId="0" fontId="15" fillId="9" borderId="17" xfId="0" applyFont="1" applyFill="1" applyBorder="1" applyAlignment="1">
      <alignment horizontal="center"/>
    </xf>
    <xf numFmtId="0" fontId="15" fillId="9" borderId="20" xfId="0" applyFont="1" applyFill="1" applyBorder="1" applyAlignment="1">
      <alignment horizontal="center"/>
    </xf>
    <xf numFmtId="0" fontId="18" fillId="0" borderId="18" xfId="0" applyFont="1" applyFill="1" applyBorder="1" applyAlignment="1">
      <alignment horizontal="center" wrapText="1"/>
    </xf>
  </cellXfs>
  <cellStyles count="51">
    <cellStyle name="Moeda" xfId="1" builtinId="4"/>
    <cellStyle name="Normal" xfId="0" builtinId="0"/>
    <cellStyle name="Normal 2" xfId="2"/>
    <cellStyle name="Normal 2 2" xfId="3"/>
    <cellStyle name="Normal 2 2 2" xfId="4"/>
    <cellStyle name="Normal 2 2 2 2" xfId="5"/>
    <cellStyle name="Normal 2 2 2 2 2" xfId="6"/>
    <cellStyle name="Normal 2 2 2 2 3" xfId="7"/>
    <cellStyle name="Normal 2 2 2 2 4" xfId="8"/>
    <cellStyle name="Normal 2 2 2 3" xfId="9"/>
    <cellStyle name="Normal 2 2 2 4" xfId="10"/>
    <cellStyle name="Normal 2 2 3" xfId="11"/>
    <cellStyle name="Normal 2 2 4" xfId="12"/>
    <cellStyle name="Normal 2 2 5" xfId="13"/>
    <cellStyle name="Normal 2 3" xfId="14"/>
    <cellStyle name="Normal 2 4" xfId="15"/>
    <cellStyle name="Normal 2 5" xfId="16"/>
    <cellStyle name="Normal 3" xfId="17"/>
    <cellStyle name="Normal 3 2" xfId="18"/>
    <cellStyle name="Normal 3 3" xfId="19"/>
    <cellStyle name="Normal 3 4" xfId="20"/>
    <cellStyle name="Normal 4" xfId="21"/>
    <cellStyle name="Normal 5" xfId="22"/>
    <cellStyle name="Normal 7" xfId="23"/>
    <cellStyle name="Normal 7 2" xfId="24"/>
    <cellStyle name="Normal 7 3" xfId="25"/>
    <cellStyle name="Normal 7 4" xfId="26"/>
    <cellStyle name="Normal_Relação de material" xfId="27"/>
    <cellStyle name="Porcentagem" xfId="28" builtinId="5"/>
    <cellStyle name="Separador de milhares 10" xfId="30"/>
    <cellStyle name="Separador de milhares 2" xfId="31"/>
    <cellStyle name="Separador de milhares 2 2" xfId="32"/>
    <cellStyle name="Separador de milhares 2 2 2" xfId="33"/>
    <cellStyle name="Separador de milhares 2 2 2 2" xfId="34"/>
    <cellStyle name="Separador de milhares 2 2 2 3" xfId="35"/>
    <cellStyle name="Separador de milhares 2 2 2 4" xfId="36"/>
    <cellStyle name="Separador de milhares 2 2 3" xfId="37"/>
    <cellStyle name="Separador de milhares 2 2 4" xfId="38"/>
    <cellStyle name="Separador de milhares 2 3" xfId="39"/>
    <cellStyle name="Separador de milhares 2 3 2" xfId="40"/>
    <cellStyle name="Separador de milhares 2 3 3" xfId="41"/>
    <cellStyle name="Separador de milhares 2 3 4" xfId="42"/>
    <cellStyle name="Separador de milhares 2 3 5" xfId="43"/>
    <cellStyle name="Separador de milhares 2 3 6" xfId="44"/>
    <cellStyle name="Separador de milhares 2 4" xfId="45"/>
    <cellStyle name="Separador de milhares 2 5" xfId="46"/>
    <cellStyle name="Separador de milhares 2 6" xfId="47"/>
    <cellStyle name="Separador de milhares 2 7" xfId="48"/>
    <cellStyle name="Separador de milhares 4" xfId="49"/>
    <cellStyle name="Vírgula" xfId="29" builtinId="3"/>
    <cellStyle name="Vírgula 2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19050</xdr:rowOff>
    </xdr:from>
    <xdr:to>
      <xdr:col>6</xdr:col>
      <xdr:colOff>47625</xdr:colOff>
      <xdr:row>6</xdr:row>
      <xdr:rowOff>123825</xdr:rowOff>
    </xdr:to>
    <xdr:pic>
      <xdr:nvPicPr>
        <xdr:cNvPr id="2049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19050"/>
          <a:ext cx="722947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10</xdr:col>
      <xdr:colOff>209550</xdr:colOff>
      <xdr:row>5</xdr:row>
      <xdr:rowOff>123825</xdr:rowOff>
    </xdr:to>
    <xdr:pic>
      <xdr:nvPicPr>
        <xdr:cNvPr id="3073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050"/>
          <a:ext cx="961072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85725</xdr:rowOff>
    </xdr:from>
    <xdr:to>
      <xdr:col>6</xdr:col>
      <xdr:colOff>1095375</xdr:colOff>
      <xdr:row>3</xdr:row>
      <xdr:rowOff>1543050</xdr:rowOff>
    </xdr:to>
    <xdr:pic>
      <xdr:nvPicPr>
        <xdr:cNvPr id="1318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6675" y="85725"/>
          <a:ext cx="142684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0</xdr:rowOff>
    </xdr:from>
    <xdr:to>
      <xdr:col>1</xdr:col>
      <xdr:colOff>628650</xdr:colOff>
      <xdr:row>3</xdr:row>
      <xdr:rowOff>114300</xdr:rowOff>
    </xdr:to>
    <xdr:pic>
      <xdr:nvPicPr>
        <xdr:cNvPr id="537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9625" y="0"/>
          <a:ext cx="4667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fpb/AppData/Local/Temp/7zOCBC4DC66/Composi&#231;&#227;o%20IFPB%20-%20ITABAIANA%20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ANTA%20LUZIA%20%20-%20GUARITA%20FINAL%20DE%20EL&#201;TRI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anta%20Luzia%20-%20%20Atualiza&#231;&#227;o%2019.07.2017/Composi&#231;&#227;o%20IFPB%20-%20ITABAIANA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 GERAL (2)"/>
      <sheetName val="IMPLANTAÇÃO "/>
      <sheetName val="ADMINISTRATIVO"/>
      <sheetName val="ACADEMICO"/>
      <sheetName val="GUARITA"/>
      <sheetName val="RESERVATORIO"/>
      <sheetName val="COMPOSIÇÃO GERAL"/>
      <sheetName val="Encargos"/>
      <sheetName val="BDI"/>
      <sheetName val="INSUMOS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431">
          <cell r="E2431">
            <v>69.13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Resumo"/>
      <sheetName val="Cronograma"/>
      <sheetName val="Orçamento Sintético"/>
      <sheetName val="Memória"/>
      <sheetName val="Composições"/>
    </sheetNames>
    <sheetDataSet>
      <sheetData sheetId="0" refreshError="1"/>
      <sheetData sheetId="1" refreshError="1"/>
      <sheetData sheetId="2" refreshError="1"/>
      <sheetData sheetId="3">
        <row r="1114">
          <cell r="F1114">
            <v>15.4</v>
          </cell>
        </row>
        <row r="1120">
          <cell r="F1120">
            <v>9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 GERAL (2)"/>
      <sheetName val="IMPLANTAÇÃO "/>
      <sheetName val="ADMINISTRATIVO"/>
      <sheetName val="ACADEMICO"/>
      <sheetName val="GUARITA"/>
      <sheetName val="RESERVATORIO"/>
      <sheetName val="COMPOSIÇÃO GERAL"/>
      <sheetName val="Encargos"/>
      <sheetName val="BDI"/>
      <sheetName val="INSUMOS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848">
          <cell r="E2848">
            <v>39.700000000000003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F39"/>
  <sheetViews>
    <sheetView zoomScale="85" workbookViewId="0">
      <selection activeCell="A8" sqref="A8:F8"/>
    </sheetView>
  </sheetViews>
  <sheetFormatPr defaultRowHeight="12.75" x14ac:dyDescent="0.25"/>
  <cols>
    <col min="1" max="1" width="6.28515625" style="3" customWidth="1"/>
    <col min="2" max="2" width="47.140625" style="1" customWidth="1"/>
    <col min="3" max="4" width="13.7109375" style="5" customWidth="1"/>
    <col min="5" max="5" width="13.7109375" style="6" customWidth="1"/>
    <col min="6" max="6" width="13.7109375" style="4" customWidth="1"/>
    <col min="7" max="16384" width="9.140625" style="1"/>
  </cols>
  <sheetData>
    <row r="8" spans="1:6" ht="21" customHeight="1" x14ac:dyDescent="0.25">
      <c r="A8" s="289" t="s">
        <v>740</v>
      </c>
      <c r="B8" s="290"/>
      <c r="C8" s="290"/>
      <c r="D8" s="290"/>
      <c r="E8" s="290"/>
      <c r="F8" s="291"/>
    </row>
    <row r="9" spans="1:6" ht="20.25" customHeight="1" x14ac:dyDescent="0.25">
      <c r="A9" s="292" t="str">
        <f>'Orçamento Sintético'!A6:C6</f>
        <v>OBRA: GUARITA - CAMPUS SANTA LUZIA</v>
      </c>
      <c r="B9" s="293"/>
      <c r="C9" s="21"/>
      <c r="D9" s="294" t="s">
        <v>615</v>
      </c>
      <c r="E9" s="295"/>
      <c r="F9" s="296"/>
    </row>
    <row r="10" spans="1:6" ht="20.25" customHeight="1" x14ac:dyDescent="0.25">
      <c r="A10" s="17"/>
      <c r="B10" s="20"/>
      <c r="C10" s="21"/>
      <c r="D10" s="21"/>
      <c r="E10" s="18"/>
      <c r="F10" s="19"/>
    </row>
    <row r="11" spans="1:6" ht="28.5" x14ac:dyDescent="0.25">
      <c r="A11" s="97" t="s">
        <v>0</v>
      </c>
      <c r="B11" s="98" t="s">
        <v>1</v>
      </c>
      <c r="C11" s="99" t="s">
        <v>64</v>
      </c>
      <c r="D11" s="99" t="s">
        <v>27</v>
      </c>
      <c r="E11" s="100" t="s">
        <v>727</v>
      </c>
      <c r="F11" s="99" t="s">
        <v>22</v>
      </c>
    </row>
    <row r="12" spans="1:6" ht="19.5" customHeight="1" x14ac:dyDescent="0.3">
      <c r="A12" s="15">
        <v>1</v>
      </c>
      <c r="B12" s="8" t="s">
        <v>187</v>
      </c>
      <c r="C12" s="9">
        <f>'Orçamento Sintético'!G9</f>
        <v>327.04000000000002</v>
      </c>
      <c r="D12" s="12">
        <f t="shared" ref="D12:D32" si="0">C12/$C$32</f>
        <v>1.4106259506003142E-3</v>
      </c>
      <c r="E12" s="9">
        <f>C12*0.2617</f>
        <v>85.586368000000007</v>
      </c>
      <c r="F12" s="10">
        <f t="shared" ref="F12:F31" si="1">C12+E12</f>
        <v>412.62636800000001</v>
      </c>
    </row>
    <row r="13" spans="1:6" ht="20.100000000000001" customHeight="1" x14ac:dyDescent="0.3">
      <c r="A13" s="15">
        <v>2</v>
      </c>
      <c r="B13" s="8" t="str">
        <f>'Orçamento Sintético'!C11</f>
        <v>SERVICO EM TERRA</v>
      </c>
      <c r="C13" s="9">
        <f>'Orçamento Sintético'!G11</f>
        <v>4620.0600000000004</v>
      </c>
      <c r="D13" s="12">
        <f t="shared" si="0"/>
        <v>1.9927765806416607E-2</v>
      </c>
      <c r="E13" s="9">
        <f>C13*0.2617</f>
        <v>1209.069702</v>
      </c>
      <c r="F13" s="10">
        <f t="shared" si="1"/>
        <v>5829.1297020000002</v>
      </c>
    </row>
    <row r="14" spans="1:6" ht="20.100000000000001" customHeight="1" x14ac:dyDescent="0.3">
      <c r="A14" s="15">
        <v>3</v>
      </c>
      <c r="B14" s="11" t="str">
        <f>'Orçamento Sintético'!C19</f>
        <v>FUNDACOES E SONDAGENS</v>
      </c>
      <c r="C14" s="9">
        <f>'Orçamento Sintético'!G19</f>
        <v>9153.9699999999993</v>
      </c>
      <c r="D14" s="12">
        <f t="shared" si="0"/>
        <v>3.948393968021268E-2</v>
      </c>
      <c r="E14" s="9">
        <f t="shared" ref="E14:E31" si="2">C14*0.2617</f>
        <v>2395.5939489999996</v>
      </c>
      <c r="F14" s="10">
        <f t="shared" si="1"/>
        <v>11549.563948999999</v>
      </c>
    </row>
    <row r="15" spans="1:6" ht="20.100000000000001" customHeight="1" x14ac:dyDescent="0.25">
      <c r="A15" s="15">
        <v>4</v>
      </c>
      <c r="B15" s="16" t="str">
        <f>'Orçamento Sintético'!C30</f>
        <v>ESTRUTURA</v>
      </c>
      <c r="C15" s="9">
        <f>'Orçamento Sintético'!G30</f>
        <v>114687.53</v>
      </c>
      <c r="D15" s="12">
        <f t="shared" si="0"/>
        <v>0.49468323761084892</v>
      </c>
      <c r="E15" s="9">
        <f t="shared" si="2"/>
        <v>30013.726600999998</v>
      </c>
      <c r="F15" s="10">
        <f t="shared" si="1"/>
        <v>144701.256601</v>
      </c>
    </row>
    <row r="16" spans="1:6" ht="20.100000000000001" customHeight="1" x14ac:dyDescent="0.25">
      <c r="A16" s="15">
        <v>5</v>
      </c>
      <c r="B16" s="16" t="str">
        <f>'Orçamento Sintético'!C43</f>
        <v>ALVENARIA E VEDAÇÕES</v>
      </c>
      <c r="C16" s="9">
        <f>'Orçamento Sintético'!G43</f>
        <v>4503.47</v>
      </c>
      <c r="D16" s="12">
        <f t="shared" si="0"/>
        <v>1.9424876619832426E-2</v>
      </c>
      <c r="E16" s="9">
        <f t="shared" si="2"/>
        <v>1178.5580990000001</v>
      </c>
      <c r="F16" s="10">
        <f t="shared" si="1"/>
        <v>5682.0280990000001</v>
      </c>
    </row>
    <row r="17" spans="1:6" ht="20.100000000000001" customHeight="1" x14ac:dyDescent="0.3">
      <c r="A17" s="15">
        <v>6</v>
      </c>
      <c r="B17" s="8" t="str">
        <f>'Orçamento Sintético'!C48</f>
        <v>IMPERMEABILIZAÇÕES</v>
      </c>
      <c r="C17" s="9">
        <f>'Orçamento Sintético'!G48</f>
        <v>2624.07</v>
      </c>
      <c r="D17" s="12">
        <f t="shared" si="0"/>
        <v>1.1318435782142143E-2</v>
      </c>
      <c r="E17" s="9">
        <f t="shared" si="2"/>
        <v>686.71911899999998</v>
      </c>
      <c r="F17" s="10">
        <f t="shared" si="1"/>
        <v>3310.789119</v>
      </c>
    </row>
    <row r="18" spans="1:6" ht="20.100000000000001" customHeight="1" x14ac:dyDescent="0.3">
      <c r="A18" s="15">
        <v>7</v>
      </c>
      <c r="B18" s="8" t="str">
        <f>'Orçamento Sintético'!C53</f>
        <v>COBERTURA E PROTEÇÕES</v>
      </c>
      <c r="C18" s="9">
        <f>'Orçamento Sintético'!G53</f>
        <v>18092.099999999999</v>
      </c>
      <c r="D18" s="12">
        <f t="shared" si="0"/>
        <v>7.8036893838233673E-2</v>
      </c>
      <c r="E18" s="9">
        <f t="shared" si="2"/>
        <v>4734.7025699999995</v>
      </c>
      <c r="F18" s="10">
        <f t="shared" si="1"/>
        <v>22826.80257</v>
      </c>
    </row>
    <row r="19" spans="1:6" ht="20.100000000000001" customHeight="1" x14ac:dyDescent="0.3">
      <c r="A19" s="15">
        <v>8</v>
      </c>
      <c r="B19" s="11" t="str">
        <f>'Orçamento Sintético'!C56</f>
        <v>ESQUADRIAS METÁLICA</v>
      </c>
      <c r="C19" s="9">
        <f>'Orçamento Sintético'!G56</f>
        <v>14768.13</v>
      </c>
      <c r="D19" s="12">
        <f t="shared" si="0"/>
        <v>6.3699570143832596E-2</v>
      </c>
      <c r="E19" s="9">
        <f t="shared" si="2"/>
        <v>3864.8196209999996</v>
      </c>
      <c r="F19" s="10">
        <f t="shared" si="1"/>
        <v>18632.949621</v>
      </c>
    </row>
    <row r="20" spans="1:6" ht="20.100000000000001" customHeight="1" x14ac:dyDescent="0.3">
      <c r="A20" s="15">
        <v>9</v>
      </c>
      <c r="B20" s="11" t="str">
        <f>'Orçamento Sintético'!C61</f>
        <v>ESQUADRIAS DE MADEIRA</v>
      </c>
      <c r="C20" s="9">
        <f>'Orçamento Sintético'!G61</f>
        <v>826.94</v>
      </c>
      <c r="D20" s="12">
        <f t="shared" si="0"/>
        <v>3.566851221836545E-3</v>
      </c>
      <c r="E20" s="9">
        <f t="shared" si="2"/>
        <v>216.41019800000001</v>
      </c>
      <c r="F20" s="10">
        <f t="shared" si="1"/>
        <v>1043.3501980000001</v>
      </c>
    </row>
    <row r="21" spans="1:6" ht="20.100000000000001" customHeight="1" x14ac:dyDescent="0.25">
      <c r="A21" s="15">
        <v>10</v>
      </c>
      <c r="B21" s="16" t="str">
        <f>'Orçamento Sintético'!C63</f>
        <v>VIDROS</v>
      </c>
      <c r="C21" s="9">
        <f>'Orçamento Sintético'!G63</f>
        <v>2752.73</v>
      </c>
      <c r="D21" s="12">
        <f t="shared" si="0"/>
        <v>1.1873386659112042E-2</v>
      </c>
      <c r="E21" s="9">
        <f t="shared" si="2"/>
        <v>720.38944099999992</v>
      </c>
      <c r="F21" s="10">
        <f t="shared" si="1"/>
        <v>3473.1194409999998</v>
      </c>
    </row>
    <row r="22" spans="1:6" ht="20.100000000000001" customHeight="1" x14ac:dyDescent="0.3">
      <c r="A22" s="15">
        <v>11</v>
      </c>
      <c r="B22" s="8" t="str">
        <f>'Orçamento Sintético'!C67</f>
        <v>FORROS</v>
      </c>
      <c r="C22" s="9">
        <f>'Orçamento Sintético'!G67</f>
        <v>643.4</v>
      </c>
      <c r="D22" s="12">
        <f t="shared" si="0"/>
        <v>2.775185716170016E-3</v>
      </c>
      <c r="E22" s="9">
        <f t="shared" si="2"/>
        <v>168.37777999999997</v>
      </c>
      <c r="F22" s="10">
        <f t="shared" si="1"/>
        <v>811.77777999999989</v>
      </c>
    </row>
    <row r="23" spans="1:6" ht="20.100000000000001" customHeight="1" x14ac:dyDescent="0.3">
      <c r="A23" s="15">
        <v>12</v>
      </c>
      <c r="B23" s="8" t="str">
        <f>'Orçamento Sintético'!C70</f>
        <v>REVESTIMENTO</v>
      </c>
      <c r="C23" s="9">
        <f>'Orçamento Sintético'!G70</f>
        <v>11712.34</v>
      </c>
      <c r="D23" s="12">
        <f t="shared" si="0"/>
        <v>5.0518990784778874E-2</v>
      </c>
      <c r="E23" s="9">
        <f t="shared" si="2"/>
        <v>3065.1193779999999</v>
      </c>
      <c r="F23" s="10">
        <f t="shared" si="1"/>
        <v>14777.459378</v>
      </c>
    </row>
    <row r="24" spans="1:6" ht="20.100000000000001" customHeight="1" x14ac:dyDescent="0.3">
      <c r="A24" s="15">
        <v>13</v>
      </c>
      <c r="B24" s="8" t="str">
        <f>'Orçamento Sintético'!C77</f>
        <v>PAVIMENTAÇÃO</v>
      </c>
      <c r="C24" s="9">
        <f>'Orçamento Sintético'!G77</f>
        <v>5203.71</v>
      </c>
      <c r="D24" s="12">
        <f t="shared" si="0"/>
        <v>2.2445231058581091E-2</v>
      </c>
      <c r="E24" s="9">
        <f t="shared" si="2"/>
        <v>1361.810907</v>
      </c>
      <c r="F24" s="10">
        <f t="shared" si="1"/>
        <v>6565.5209070000001</v>
      </c>
    </row>
    <row r="25" spans="1:6" ht="20.100000000000001" customHeight="1" x14ac:dyDescent="0.3">
      <c r="A25" s="15">
        <v>14</v>
      </c>
      <c r="B25" s="8" t="str">
        <f>'Orçamento Sintético'!C87</f>
        <v>INSTALAÇÕES HIDRO-SANITÁRIAS</v>
      </c>
      <c r="C25" s="9">
        <f>'Orçamento Sintético'!G87</f>
        <v>1001.85</v>
      </c>
      <c r="D25" s="12">
        <f t="shared" si="0"/>
        <v>4.3212928345429443E-3</v>
      </c>
      <c r="E25" s="9">
        <f t="shared" si="2"/>
        <v>262.184145</v>
      </c>
      <c r="F25" s="10">
        <f t="shared" si="1"/>
        <v>1264.0341450000001</v>
      </c>
    </row>
    <row r="26" spans="1:6" ht="20.100000000000001" customHeight="1" x14ac:dyDescent="0.3">
      <c r="A26" s="15">
        <v>15</v>
      </c>
      <c r="B26" s="8" t="str">
        <f>'Orçamento Sintético'!C114</f>
        <v xml:space="preserve">INSTALAÇÕES ELÉTRICAS </v>
      </c>
      <c r="C26" s="9">
        <f>'Orçamento Sintético'!G114</f>
        <v>9408.33</v>
      </c>
      <c r="D26" s="12">
        <f t="shared" si="0"/>
        <v>4.0581074027065352E-2</v>
      </c>
      <c r="E26" s="9">
        <f t="shared" si="2"/>
        <v>2462.1599609999998</v>
      </c>
      <c r="F26" s="10">
        <f t="shared" si="1"/>
        <v>11870.489960999999</v>
      </c>
    </row>
    <row r="27" spans="1:6" ht="20.100000000000001" customHeight="1" x14ac:dyDescent="0.3">
      <c r="A27" s="15">
        <v>16</v>
      </c>
      <c r="B27" s="8" t="str">
        <f>'Orçamento Sintético'!C131</f>
        <v>INSTALAÇÃO DE COMBATE A INCÊNDIO E PÂNICO</v>
      </c>
      <c r="C27" s="9">
        <f>'Orçamento Sintético'!G131</f>
        <v>371.27</v>
      </c>
      <c r="D27" s="12">
        <f t="shared" si="0"/>
        <v>1.6014037936624833E-3</v>
      </c>
      <c r="E27" s="9">
        <f t="shared" si="2"/>
        <v>97.16135899999999</v>
      </c>
      <c r="F27" s="10">
        <f t="shared" si="1"/>
        <v>468.43135899999999</v>
      </c>
    </row>
    <row r="28" spans="1:6" ht="20.100000000000001" customHeight="1" x14ac:dyDescent="0.3">
      <c r="A28" s="15">
        <v>17</v>
      </c>
      <c r="B28" s="8" t="str">
        <f>'Orçamento Sintético'!C134</f>
        <v>CABEAMENTO ESTRUTURADO E TELEFÔNICO</v>
      </c>
      <c r="C28" s="9">
        <f>'Orçamento Sintético'!G134</f>
        <v>8913.5400000000009</v>
      </c>
      <c r="D28" s="12">
        <f t="shared" si="0"/>
        <v>3.8446889786307253E-2</v>
      </c>
      <c r="E28" s="9">
        <f t="shared" si="2"/>
        <v>2332.6734180000003</v>
      </c>
      <c r="F28" s="10">
        <f t="shared" si="1"/>
        <v>11246.213418000001</v>
      </c>
    </row>
    <row r="29" spans="1:6" ht="20.100000000000001" customHeight="1" x14ac:dyDescent="0.3">
      <c r="A29" s="15">
        <v>18</v>
      </c>
      <c r="B29" s="11" t="str">
        <f>'Orçamento Sintético'!C163</f>
        <v>PINTURA</v>
      </c>
      <c r="C29" s="9">
        <f>'Orçamento Sintético'!G163</f>
        <v>12470.74</v>
      </c>
      <c r="D29" s="12">
        <f t="shared" si="0"/>
        <v>5.3790207519536934E-2</v>
      </c>
      <c r="E29" s="9">
        <f t="shared" si="2"/>
        <v>3263.5926579999996</v>
      </c>
      <c r="F29" s="10">
        <f t="shared" si="1"/>
        <v>15734.332657999999</v>
      </c>
    </row>
    <row r="30" spans="1:6" ht="20.100000000000001" customHeight="1" x14ac:dyDescent="0.3">
      <c r="A30" s="15">
        <v>19</v>
      </c>
      <c r="B30" s="11" t="str">
        <f>'Orçamento Sintético'!C169</f>
        <v>BANCADAS, LOUÇAS, METAIS E ACESSÓRIOS</v>
      </c>
      <c r="C30" s="9">
        <f>'Orçamento Sintético'!G169</f>
        <v>1325.09</v>
      </c>
      <c r="D30" s="12">
        <f t="shared" si="0"/>
        <v>5.7155281949638273E-3</v>
      </c>
      <c r="E30" s="9">
        <f t="shared" si="2"/>
        <v>346.77605299999999</v>
      </c>
      <c r="F30" s="10">
        <f t="shared" si="1"/>
        <v>1671.866053</v>
      </c>
    </row>
    <row r="31" spans="1:6" ht="20.100000000000001" customHeight="1" x14ac:dyDescent="0.3">
      <c r="A31" s="15">
        <v>20</v>
      </c>
      <c r="B31" s="11" t="str">
        <f>'Orçamento Sintético'!C184</f>
        <v>SERVIÇOS COMPLEMENTARES</v>
      </c>
      <c r="C31" s="9">
        <f>'Orçamento Sintético'!G184</f>
        <v>8434.0300000000007</v>
      </c>
      <c r="D31" s="12">
        <f t="shared" si="0"/>
        <v>3.6378612971323283E-2</v>
      </c>
      <c r="E31" s="9">
        <f t="shared" si="2"/>
        <v>2207.1856510000002</v>
      </c>
      <c r="F31" s="10">
        <f t="shared" si="1"/>
        <v>10641.215651</v>
      </c>
    </row>
    <row r="32" spans="1:6" ht="20.100000000000001" customHeight="1" x14ac:dyDescent="0.35">
      <c r="A32" s="91"/>
      <c r="B32" s="92" t="s">
        <v>31</v>
      </c>
      <c r="C32" s="93">
        <f>SUM(C12:C31)</f>
        <v>231840.34</v>
      </c>
      <c r="D32" s="94">
        <f t="shared" si="0"/>
        <v>1</v>
      </c>
      <c r="E32" s="95">
        <f>SUM(E12:E31)</f>
        <v>60672.616978000005</v>
      </c>
      <c r="F32" s="95">
        <f>SUM(F12:F31)</f>
        <v>292512.95697799994</v>
      </c>
    </row>
    <row r="33" spans="1:6" s="2" customFormat="1" ht="20.100000000000001" customHeight="1" x14ac:dyDescent="0.35">
      <c r="A33" s="91"/>
      <c r="B33" s="92" t="str">
        <f>'Orçamento Sintético'!C190</f>
        <v>BDI (26,17%)</v>
      </c>
      <c r="C33" s="93">
        <f>ROUND(C32*0.2617,2)</f>
        <v>60672.62</v>
      </c>
      <c r="D33" s="96"/>
      <c r="E33" s="95"/>
      <c r="F33" s="95"/>
    </row>
    <row r="34" spans="1:6" s="2" customFormat="1" ht="20.100000000000001" customHeight="1" x14ac:dyDescent="0.35">
      <c r="A34" s="91"/>
      <c r="B34" s="92" t="str">
        <f>'Orçamento Sintético'!C191</f>
        <v>TOTAL GERAL</v>
      </c>
      <c r="C34" s="93">
        <f>SUM(C32:C33)</f>
        <v>292512.96000000002</v>
      </c>
      <c r="D34" s="96"/>
      <c r="E34" s="95"/>
      <c r="F34" s="95"/>
    </row>
    <row r="35" spans="1:6" s="2" customFormat="1" ht="20.100000000000001" customHeight="1" x14ac:dyDescent="0.35">
      <c r="B35" s="1"/>
      <c r="C35" s="5"/>
      <c r="D35" s="5"/>
      <c r="E35" s="6"/>
      <c r="F35" s="4"/>
    </row>
    <row r="37" spans="1:6" x14ac:dyDescent="0.25">
      <c r="B37" s="14"/>
      <c r="D37" s="25"/>
      <c r="E37" s="26"/>
      <c r="F37" s="27"/>
    </row>
    <row r="38" spans="1:6" ht="14.25" x14ac:dyDescent="0.25">
      <c r="D38" s="288"/>
      <c r="E38" s="288"/>
      <c r="F38" s="288"/>
    </row>
    <row r="39" spans="1:6" ht="14.25" x14ac:dyDescent="0.25">
      <c r="D39" s="287"/>
      <c r="E39" s="287"/>
      <c r="F39" s="287"/>
    </row>
  </sheetData>
  <mergeCells count="5">
    <mergeCell ref="D39:F39"/>
    <mergeCell ref="D38:F38"/>
    <mergeCell ref="A8:F8"/>
    <mergeCell ref="A9:B9"/>
    <mergeCell ref="D9:F9"/>
  </mergeCells>
  <phoneticPr fontId="5" type="noConversion"/>
  <printOptions horizontalCentered="1"/>
  <pageMargins left="0.39370078740157483" right="0.39370078740157483" top="0.59055118110236227" bottom="0.98425196850393704" header="0.51181102362204722" footer="0.51181102362204722"/>
  <pageSetup paperSize="9" scale="82" orientation="portrait" r:id="rId1"/>
  <headerFooter alignWithMargins="0"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G39"/>
  <sheetViews>
    <sheetView view="pageBreakPreview" topLeftCell="K4" zoomScaleSheetLayoutView="100" workbookViewId="0">
      <selection activeCell="E35" sqref="E35"/>
    </sheetView>
  </sheetViews>
  <sheetFormatPr defaultRowHeight="12.75" x14ac:dyDescent="0.25"/>
  <cols>
    <col min="1" max="1" width="6.42578125" style="3" customWidth="1"/>
    <col min="2" max="2" width="42.85546875" style="1" bestFit="1" customWidth="1"/>
    <col min="3" max="3" width="13.5703125" style="5" bestFit="1" customWidth="1"/>
    <col min="4" max="4" width="7.7109375" style="5" customWidth="1"/>
    <col min="5" max="5" width="13.42578125" style="6" bestFit="1" customWidth="1"/>
    <col min="6" max="6" width="14.140625" style="4" customWidth="1"/>
    <col min="7" max="12" width="10.7109375" style="4" customWidth="1"/>
    <col min="13" max="13" width="9.5703125" style="1" customWidth="1"/>
    <col min="14" max="14" width="10.42578125" style="1" customWidth="1"/>
    <col min="15" max="15" width="8.42578125" style="1" customWidth="1"/>
    <col min="16" max="16" width="12.5703125" style="1" customWidth="1"/>
    <col min="17" max="17" width="10.5703125" style="1" customWidth="1"/>
    <col min="18" max="18" width="11.5703125" style="1" customWidth="1"/>
    <col min="19" max="19" width="6.85546875" style="1" customWidth="1"/>
    <col min="20" max="20" width="11" style="1" customWidth="1"/>
    <col min="21" max="21" width="6.5703125" style="1" customWidth="1"/>
    <col min="22" max="22" width="11.85546875" style="1" customWidth="1"/>
    <col min="23" max="23" width="9.42578125" style="1" customWidth="1"/>
    <col min="24" max="24" width="11.28515625" style="1" customWidth="1"/>
    <col min="25" max="25" width="8.7109375" style="1" customWidth="1"/>
    <col min="26" max="26" width="12.28515625" style="1" customWidth="1"/>
    <col min="27" max="27" width="7.5703125" style="1" customWidth="1"/>
    <col min="28" max="28" width="13" style="1" customWidth="1"/>
    <col min="29" max="29" width="9.140625" style="1"/>
    <col min="30" max="30" width="11.5703125" style="1" customWidth="1"/>
    <col min="31" max="31" width="9.140625" style="1"/>
    <col min="32" max="32" width="13.140625" style="1" bestFit="1" customWidth="1"/>
    <col min="33" max="16384" width="9.140625" style="1"/>
  </cols>
  <sheetData>
    <row r="7" spans="1:33" ht="21" customHeight="1" x14ac:dyDescent="0.25">
      <c r="A7" s="289" t="s">
        <v>37</v>
      </c>
      <c r="B7" s="290"/>
      <c r="C7" s="290"/>
      <c r="D7" s="290"/>
      <c r="E7" s="290"/>
      <c r="F7" s="290"/>
      <c r="G7" s="117"/>
      <c r="H7" s="117"/>
      <c r="I7" s="117"/>
      <c r="J7" s="117"/>
      <c r="K7" s="117"/>
      <c r="L7" s="117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9"/>
      <c r="AB7" s="119"/>
      <c r="AC7" s="119"/>
      <c r="AD7" s="119"/>
      <c r="AE7" s="119"/>
      <c r="AF7" s="120"/>
    </row>
    <row r="8" spans="1:33" s="61" customFormat="1" ht="20.25" customHeight="1" x14ac:dyDescent="0.2">
      <c r="A8" s="302" t="str">
        <f>'Orçamento Resumo'!A9:B9</f>
        <v>OBRA: GUARITA - CAMPUS SANTA LUZIA</v>
      </c>
      <c r="B8" s="303"/>
      <c r="C8" s="303"/>
      <c r="D8" s="303"/>
      <c r="E8" s="303"/>
      <c r="F8" s="303"/>
      <c r="G8" s="79"/>
      <c r="H8" s="79"/>
      <c r="I8" s="79"/>
      <c r="J8" s="79"/>
      <c r="K8" s="79"/>
      <c r="L8" s="79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</row>
    <row r="9" spans="1:33" s="61" customFormat="1" ht="20.25" customHeight="1" thickBot="1" x14ac:dyDescent="0.25">
      <c r="A9" s="300" t="s">
        <v>615</v>
      </c>
      <c r="B9" s="301"/>
      <c r="C9" s="301"/>
      <c r="D9" s="301"/>
      <c r="E9" s="301"/>
      <c r="F9" s="301"/>
      <c r="G9" s="79"/>
      <c r="H9" s="79"/>
      <c r="I9" s="79"/>
      <c r="J9" s="79"/>
      <c r="K9" s="79"/>
      <c r="L9" s="79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</row>
    <row r="10" spans="1:33" ht="15" customHeight="1" x14ac:dyDescent="0.3">
      <c r="A10" s="309" t="s">
        <v>0</v>
      </c>
      <c r="B10" s="307" t="s">
        <v>1</v>
      </c>
      <c r="C10" s="298" t="s">
        <v>26</v>
      </c>
      <c r="D10" s="298" t="s">
        <v>27</v>
      </c>
      <c r="E10" s="305" t="s">
        <v>727</v>
      </c>
      <c r="F10" s="298" t="s">
        <v>28</v>
      </c>
      <c r="G10" s="297" t="s">
        <v>29</v>
      </c>
      <c r="H10" s="297"/>
      <c r="I10" s="297" t="s">
        <v>33</v>
      </c>
      <c r="J10" s="297"/>
      <c r="K10" s="297" t="s">
        <v>34</v>
      </c>
      <c r="L10" s="297"/>
      <c r="M10" s="297" t="s">
        <v>35</v>
      </c>
      <c r="N10" s="297"/>
      <c r="O10" s="297" t="s">
        <v>36</v>
      </c>
      <c r="P10" s="297"/>
      <c r="Q10" s="297" t="s">
        <v>77</v>
      </c>
      <c r="R10" s="297"/>
      <c r="S10" s="297" t="s">
        <v>78</v>
      </c>
      <c r="T10" s="297"/>
      <c r="U10" s="297" t="s">
        <v>91</v>
      </c>
      <c r="V10" s="297"/>
      <c r="W10" s="297" t="s">
        <v>92</v>
      </c>
      <c r="X10" s="297"/>
      <c r="Y10" s="297" t="s">
        <v>93</v>
      </c>
      <c r="Z10" s="297"/>
      <c r="AA10" s="297" t="s">
        <v>214</v>
      </c>
      <c r="AB10" s="297"/>
      <c r="AC10" s="297" t="s">
        <v>215</v>
      </c>
      <c r="AD10" s="297"/>
      <c r="AE10" s="297" t="s">
        <v>216</v>
      </c>
      <c r="AF10" s="304"/>
    </row>
    <row r="11" spans="1:33" ht="12.75" customHeight="1" thickBot="1" x14ac:dyDescent="0.35">
      <c r="A11" s="310"/>
      <c r="B11" s="308"/>
      <c r="C11" s="299"/>
      <c r="D11" s="299"/>
      <c r="E11" s="306"/>
      <c r="F11" s="299"/>
      <c r="G11" s="115" t="s">
        <v>27</v>
      </c>
      <c r="H11" s="115" t="s">
        <v>30</v>
      </c>
      <c r="I11" s="115" t="s">
        <v>27</v>
      </c>
      <c r="J11" s="115" t="s">
        <v>30</v>
      </c>
      <c r="K11" s="115" t="s">
        <v>27</v>
      </c>
      <c r="L11" s="115" t="s">
        <v>30</v>
      </c>
      <c r="M11" s="115" t="s">
        <v>27</v>
      </c>
      <c r="N11" s="115" t="s">
        <v>30</v>
      </c>
      <c r="O11" s="115" t="s">
        <v>27</v>
      </c>
      <c r="P11" s="115" t="s">
        <v>30</v>
      </c>
      <c r="Q11" s="115" t="s">
        <v>27</v>
      </c>
      <c r="R11" s="115" t="s">
        <v>30</v>
      </c>
      <c r="S11" s="115" t="s">
        <v>27</v>
      </c>
      <c r="T11" s="115" t="s">
        <v>30</v>
      </c>
      <c r="U11" s="115" t="s">
        <v>27</v>
      </c>
      <c r="V11" s="115" t="s">
        <v>30</v>
      </c>
      <c r="W11" s="115" t="s">
        <v>27</v>
      </c>
      <c r="X11" s="115" t="s">
        <v>30</v>
      </c>
      <c r="Y11" s="115" t="s">
        <v>27</v>
      </c>
      <c r="Z11" s="115" t="s">
        <v>30</v>
      </c>
      <c r="AA11" s="115" t="s">
        <v>27</v>
      </c>
      <c r="AB11" s="115" t="s">
        <v>30</v>
      </c>
      <c r="AC11" s="115" t="s">
        <v>27</v>
      </c>
      <c r="AD11" s="115" t="s">
        <v>30</v>
      </c>
      <c r="AE11" s="115" t="s">
        <v>27</v>
      </c>
      <c r="AF11" s="116" t="s">
        <v>30</v>
      </c>
    </row>
    <row r="12" spans="1:33" x14ac:dyDescent="0.25">
      <c r="A12" s="109">
        <f>'Orçamento Resumo'!A12</f>
        <v>1</v>
      </c>
      <c r="B12" s="110" t="str">
        <f>'Orçamento Resumo'!B12</f>
        <v>SERVIÇOS PRELIMINARES</v>
      </c>
      <c r="C12" s="111">
        <f>'Orçamento Resumo'!C12</f>
        <v>327.04000000000002</v>
      </c>
      <c r="D12" s="112">
        <f>'Orçamento Resumo'!D12</f>
        <v>1.4106259506003142E-3</v>
      </c>
      <c r="E12" s="111">
        <f>C12*0.2617</f>
        <v>85.586368000000007</v>
      </c>
      <c r="F12" s="113">
        <f>C12+E12</f>
        <v>412.62636800000001</v>
      </c>
      <c r="G12" s="113"/>
      <c r="H12" s="111">
        <f>$F12*G12</f>
        <v>0</v>
      </c>
      <c r="I12" s="113"/>
      <c r="J12" s="111">
        <f>$F12*I12</f>
        <v>0</v>
      </c>
      <c r="K12" s="113"/>
      <c r="L12" s="111">
        <f>$F12*K12</f>
        <v>0</v>
      </c>
      <c r="M12" s="114">
        <v>1</v>
      </c>
      <c r="N12" s="111">
        <f>$F12*M12</f>
        <v>412.62636800000001</v>
      </c>
      <c r="O12" s="114"/>
      <c r="P12" s="111">
        <f>$F12*O12</f>
        <v>0</v>
      </c>
      <c r="Q12" s="114"/>
      <c r="R12" s="111">
        <f t="shared" ref="R12:R31" si="0">$F12*Q12</f>
        <v>0</v>
      </c>
      <c r="S12" s="114"/>
      <c r="T12" s="111">
        <f t="shared" ref="T12:T31" si="1">$F12*S12</f>
        <v>0</v>
      </c>
      <c r="U12" s="111"/>
      <c r="V12" s="111">
        <f t="shared" ref="V12:V31" si="2">$F12*U12</f>
        <v>0</v>
      </c>
      <c r="W12" s="114"/>
      <c r="X12" s="111">
        <f t="shared" ref="X12:X31" si="3">$F12*W12</f>
        <v>0</v>
      </c>
      <c r="Y12" s="114"/>
      <c r="Z12" s="111">
        <f t="shared" ref="Z12:Z31" si="4">$F12*Y12</f>
        <v>0</v>
      </c>
      <c r="AA12" s="114"/>
      <c r="AB12" s="111">
        <f t="shared" ref="AB12:AB31" si="5">$F12*AA12</f>
        <v>0</v>
      </c>
      <c r="AC12" s="114"/>
      <c r="AD12" s="111">
        <f t="shared" ref="AD12:AD31" si="6">$F12*AC12</f>
        <v>0</v>
      </c>
      <c r="AE12" s="114"/>
      <c r="AF12" s="111">
        <f t="shared" ref="AF12:AF31" si="7">$F12*AE12</f>
        <v>0</v>
      </c>
      <c r="AG12" s="13">
        <f>M12+O12+Q12+S12+U12+W12+Y12+AA12+AC12+AE12</f>
        <v>1</v>
      </c>
    </row>
    <row r="13" spans="1:33" x14ac:dyDescent="0.25">
      <c r="A13" s="22">
        <f>'Orçamento Resumo'!A13</f>
        <v>2</v>
      </c>
      <c r="B13" s="23" t="str">
        <f>'Orçamento Resumo'!B13</f>
        <v>SERVICO EM TERRA</v>
      </c>
      <c r="C13" s="9">
        <f>'Orçamento Resumo'!C13</f>
        <v>4620.0600000000004</v>
      </c>
      <c r="D13" s="12">
        <f>'Orçamento Resumo'!D13</f>
        <v>1.9927765806416607E-2</v>
      </c>
      <c r="E13" s="111">
        <f t="shared" ref="E13:E31" si="8">C13*0.2617</f>
        <v>1209.069702</v>
      </c>
      <c r="F13" s="10">
        <f t="shared" ref="F13:F31" si="9">C13+E13</f>
        <v>5829.1297020000002</v>
      </c>
      <c r="G13" s="10"/>
      <c r="H13" s="9">
        <f t="shared" ref="H13:H31" si="10">$F13*G13</f>
        <v>0</v>
      </c>
      <c r="I13" s="10"/>
      <c r="J13" s="9">
        <f t="shared" ref="J13:J31" si="11">$F13*I13</f>
        <v>0</v>
      </c>
      <c r="K13" s="10"/>
      <c r="L13" s="9">
        <f t="shared" ref="L13:L31" si="12">$F13*K13</f>
        <v>0</v>
      </c>
      <c r="M13" s="29">
        <v>0.3</v>
      </c>
      <c r="N13" s="9">
        <f t="shared" ref="N13:P31" si="13">$F13*M13</f>
        <v>1748.7389106000001</v>
      </c>
      <c r="O13" s="29">
        <v>0.3</v>
      </c>
      <c r="P13" s="9">
        <f t="shared" si="13"/>
        <v>1748.7389106000001</v>
      </c>
      <c r="Q13" s="29">
        <v>0.4</v>
      </c>
      <c r="R13" s="9">
        <f t="shared" si="0"/>
        <v>2331.6518808000001</v>
      </c>
      <c r="S13" s="29"/>
      <c r="T13" s="9">
        <f t="shared" si="1"/>
        <v>0</v>
      </c>
      <c r="U13" s="9"/>
      <c r="V13" s="9">
        <f t="shared" si="2"/>
        <v>0</v>
      </c>
      <c r="W13" s="29"/>
      <c r="X13" s="9">
        <f t="shared" si="3"/>
        <v>0</v>
      </c>
      <c r="Y13" s="29"/>
      <c r="Z13" s="9">
        <f t="shared" si="4"/>
        <v>0</v>
      </c>
      <c r="AA13" s="29"/>
      <c r="AB13" s="9">
        <f t="shared" si="5"/>
        <v>0</v>
      </c>
      <c r="AC13" s="29"/>
      <c r="AD13" s="9">
        <f t="shared" si="6"/>
        <v>0</v>
      </c>
      <c r="AE13" s="29"/>
      <c r="AF13" s="9">
        <f t="shared" si="7"/>
        <v>0</v>
      </c>
      <c r="AG13" s="13">
        <f t="shared" ref="AG13:AG31" si="14">M13+O13+Q13+S13+U13+W13+Y13+AA13+AC13+AE13</f>
        <v>1</v>
      </c>
    </row>
    <row r="14" spans="1:33" x14ac:dyDescent="0.25">
      <c r="A14" s="22">
        <f>'Orçamento Resumo'!A14</f>
        <v>3</v>
      </c>
      <c r="B14" s="23" t="str">
        <f>'Orçamento Resumo'!B14</f>
        <v>FUNDACOES E SONDAGENS</v>
      </c>
      <c r="C14" s="9">
        <f>'Orçamento Resumo'!C14</f>
        <v>9153.9699999999993</v>
      </c>
      <c r="D14" s="12">
        <f>'Orçamento Resumo'!D14</f>
        <v>3.948393968021268E-2</v>
      </c>
      <c r="E14" s="111">
        <f t="shared" si="8"/>
        <v>2395.5939489999996</v>
      </c>
      <c r="F14" s="10">
        <f t="shared" si="9"/>
        <v>11549.563948999999</v>
      </c>
      <c r="G14" s="10"/>
      <c r="H14" s="9">
        <f t="shared" si="10"/>
        <v>0</v>
      </c>
      <c r="I14" s="10"/>
      <c r="J14" s="9">
        <f t="shared" si="11"/>
        <v>0</v>
      </c>
      <c r="K14" s="10"/>
      <c r="L14" s="9">
        <f t="shared" si="12"/>
        <v>0</v>
      </c>
      <c r="M14" s="29"/>
      <c r="N14" s="9">
        <f t="shared" si="13"/>
        <v>0</v>
      </c>
      <c r="O14" s="29">
        <v>0.2</v>
      </c>
      <c r="P14" s="9">
        <f t="shared" si="13"/>
        <v>2309.9127898000002</v>
      </c>
      <c r="Q14" s="29">
        <v>0.2</v>
      </c>
      <c r="R14" s="9">
        <f t="shared" si="0"/>
        <v>2309.9127898000002</v>
      </c>
      <c r="S14" s="29">
        <v>0.3</v>
      </c>
      <c r="T14" s="9">
        <f t="shared" si="1"/>
        <v>3464.8691846999996</v>
      </c>
      <c r="U14" s="29">
        <v>0.2</v>
      </c>
      <c r="V14" s="9">
        <f t="shared" si="2"/>
        <v>2309.9127898000002</v>
      </c>
      <c r="W14" s="29">
        <v>0.1</v>
      </c>
      <c r="X14" s="9">
        <f t="shared" si="3"/>
        <v>1154.9563949000001</v>
      </c>
      <c r="Y14" s="29"/>
      <c r="Z14" s="9">
        <f t="shared" si="4"/>
        <v>0</v>
      </c>
      <c r="AA14" s="29"/>
      <c r="AB14" s="9">
        <f t="shared" si="5"/>
        <v>0</v>
      </c>
      <c r="AC14" s="29"/>
      <c r="AD14" s="9">
        <f t="shared" si="6"/>
        <v>0</v>
      </c>
      <c r="AE14" s="29"/>
      <c r="AF14" s="9">
        <f t="shared" si="7"/>
        <v>0</v>
      </c>
      <c r="AG14" s="13">
        <f t="shared" si="14"/>
        <v>0.99999999999999989</v>
      </c>
    </row>
    <row r="15" spans="1:33" x14ac:dyDescent="0.25">
      <c r="A15" s="22">
        <f>'Orçamento Resumo'!A15</f>
        <v>4</v>
      </c>
      <c r="B15" s="23" t="str">
        <f>'Orçamento Resumo'!B15</f>
        <v>ESTRUTURA</v>
      </c>
      <c r="C15" s="9">
        <f>'Orçamento Resumo'!C15</f>
        <v>114687.53</v>
      </c>
      <c r="D15" s="12">
        <f>'Orçamento Resumo'!D15</f>
        <v>0.49468323761084892</v>
      </c>
      <c r="E15" s="111">
        <f t="shared" si="8"/>
        <v>30013.726600999998</v>
      </c>
      <c r="F15" s="10">
        <f t="shared" si="9"/>
        <v>144701.256601</v>
      </c>
      <c r="G15" s="10"/>
      <c r="H15" s="9">
        <f t="shared" si="10"/>
        <v>0</v>
      </c>
      <c r="I15" s="10"/>
      <c r="J15" s="9">
        <f t="shared" si="11"/>
        <v>0</v>
      </c>
      <c r="K15" s="10"/>
      <c r="L15" s="9">
        <f t="shared" si="12"/>
        <v>0</v>
      </c>
      <c r="M15" s="29"/>
      <c r="N15" s="9">
        <f t="shared" si="13"/>
        <v>0</v>
      </c>
      <c r="O15" s="29"/>
      <c r="P15" s="9">
        <f t="shared" si="13"/>
        <v>0</v>
      </c>
      <c r="Q15" s="29">
        <v>0.1</v>
      </c>
      <c r="R15" s="9">
        <f t="shared" si="0"/>
        <v>14470.1256601</v>
      </c>
      <c r="S15" s="29">
        <v>0.2</v>
      </c>
      <c r="T15" s="9">
        <f t="shared" si="1"/>
        <v>28940.251320200001</v>
      </c>
      <c r="U15" s="29">
        <v>0.3</v>
      </c>
      <c r="V15" s="9">
        <f t="shared" si="2"/>
        <v>43410.376980299996</v>
      </c>
      <c r="W15" s="29">
        <v>0.4</v>
      </c>
      <c r="X15" s="9">
        <f t="shared" si="3"/>
        <v>57880.502640400002</v>
      </c>
      <c r="Y15" s="29"/>
      <c r="Z15" s="9">
        <f t="shared" si="4"/>
        <v>0</v>
      </c>
      <c r="AA15" s="29"/>
      <c r="AB15" s="9">
        <f t="shared" si="5"/>
        <v>0</v>
      </c>
      <c r="AC15" s="29"/>
      <c r="AD15" s="9">
        <f t="shared" si="6"/>
        <v>0</v>
      </c>
      <c r="AE15" s="29"/>
      <c r="AF15" s="9">
        <f t="shared" si="7"/>
        <v>0</v>
      </c>
      <c r="AG15" s="13">
        <f t="shared" si="14"/>
        <v>1</v>
      </c>
    </row>
    <row r="16" spans="1:33" x14ac:dyDescent="0.25">
      <c r="A16" s="22">
        <f>'Orçamento Resumo'!A16</f>
        <v>5</v>
      </c>
      <c r="B16" s="23" t="str">
        <f>'Orçamento Resumo'!B16</f>
        <v>ALVENARIA E VEDAÇÕES</v>
      </c>
      <c r="C16" s="9">
        <f>'Orçamento Resumo'!C16</f>
        <v>4503.47</v>
      </c>
      <c r="D16" s="12">
        <f>'Orçamento Resumo'!D16</f>
        <v>1.9424876619832426E-2</v>
      </c>
      <c r="E16" s="111">
        <f t="shared" si="8"/>
        <v>1178.5580990000001</v>
      </c>
      <c r="F16" s="10">
        <f t="shared" si="9"/>
        <v>5682.0280990000001</v>
      </c>
      <c r="G16" s="10"/>
      <c r="H16" s="9">
        <f t="shared" si="10"/>
        <v>0</v>
      </c>
      <c r="I16" s="10"/>
      <c r="J16" s="9">
        <f t="shared" si="11"/>
        <v>0</v>
      </c>
      <c r="K16" s="10"/>
      <c r="L16" s="9">
        <f t="shared" si="12"/>
        <v>0</v>
      </c>
      <c r="M16" s="29"/>
      <c r="N16" s="9">
        <f t="shared" si="13"/>
        <v>0</v>
      </c>
      <c r="O16" s="29"/>
      <c r="P16" s="9">
        <f t="shared" si="13"/>
        <v>0</v>
      </c>
      <c r="Q16" s="29">
        <v>0.2</v>
      </c>
      <c r="R16" s="9">
        <f t="shared" si="0"/>
        <v>1136.4056198000001</v>
      </c>
      <c r="S16" s="29"/>
      <c r="T16" s="9">
        <f t="shared" si="1"/>
        <v>0</v>
      </c>
      <c r="U16" s="29">
        <v>0.2</v>
      </c>
      <c r="V16" s="9">
        <f t="shared" si="2"/>
        <v>1136.4056198000001</v>
      </c>
      <c r="W16" s="29">
        <v>0.2</v>
      </c>
      <c r="X16" s="9">
        <f t="shared" si="3"/>
        <v>1136.4056198000001</v>
      </c>
      <c r="Y16" s="29">
        <v>0.2</v>
      </c>
      <c r="Z16" s="9">
        <f t="shared" si="4"/>
        <v>1136.4056198000001</v>
      </c>
      <c r="AA16" s="29">
        <v>0.2</v>
      </c>
      <c r="AB16" s="9">
        <f t="shared" si="5"/>
        <v>1136.4056198000001</v>
      </c>
      <c r="AC16" s="29"/>
      <c r="AD16" s="9">
        <f t="shared" si="6"/>
        <v>0</v>
      </c>
      <c r="AE16" s="29"/>
      <c r="AF16" s="9">
        <f t="shared" si="7"/>
        <v>0</v>
      </c>
      <c r="AG16" s="13">
        <f t="shared" si="14"/>
        <v>1</v>
      </c>
    </row>
    <row r="17" spans="1:33" x14ac:dyDescent="0.25">
      <c r="A17" s="22">
        <f>'Orçamento Resumo'!A17</f>
        <v>6</v>
      </c>
      <c r="B17" s="23" t="str">
        <f>'Orçamento Resumo'!B17</f>
        <v>IMPERMEABILIZAÇÕES</v>
      </c>
      <c r="C17" s="9">
        <f>'Orçamento Resumo'!C17</f>
        <v>2624.07</v>
      </c>
      <c r="D17" s="12">
        <f>'Orçamento Resumo'!D17</f>
        <v>1.1318435782142143E-2</v>
      </c>
      <c r="E17" s="111">
        <f t="shared" si="8"/>
        <v>686.71911899999998</v>
      </c>
      <c r="F17" s="10">
        <f t="shared" si="9"/>
        <v>3310.789119</v>
      </c>
      <c r="G17" s="10"/>
      <c r="H17" s="9">
        <f t="shared" si="10"/>
        <v>0</v>
      </c>
      <c r="I17" s="10"/>
      <c r="J17" s="9">
        <f t="shared" si="11"/>
        <v>0</v>
      </c>
      <c r="K17" s="10"/>
      <c r="L17" s="9">
        <f t="shared" si="12"/>
        <v>0</v>
      </c>
      <c r="M17" s="29"/>
      <c r="N17" s="9">
        <f t="shared" si="13"/>
        <v>0</v>
      </c>
      <c r="O17" s="29"/>
      <c r="P17" s="9">
        <f t="shared" si="13"/>
        <v>0</v>
      </c>
      <c r="R17" s="9">
        <f t="shared" si="0"/>
        <v>0</v>
      </c>
      <c r="S17" s="29"/>
      <c r="T17" s="9">
        <f t="shared" si="1"/>
        <v>0</v>
      </c>
      <c r="U17" s="29"/>
      <c r="V17" s="9">
        <f t="shared" si="2"/>
        <v>0</v>
      </c>
      <c r="W17" s="29"/>
      <c r="X17" s="9">
        <f t="shared" si="3"/>
        <v>0</v>
      </c>
      <c r="Y17" s="29"/>
      <c r="Z17" s="9">
        <f t="shared" si="4"/>
        <v>0</v>
      </c>
      <c r="AA17" s="29">
        <v>0.5</v>
      </c>
      <c r="AB17" s="9">
        <f t="shared" si="5"/>
        <v>1655.3945595</v>
      </c>
      <c r="AC17" s="29">
        <v>0.5</v>
      </c>
      <c r="AD17" s="9">
        <f t="shared" si="6"/>
        <v>1655.3945595</v>
      </c>
      <c r="AE17" s="29"/>
      <c r="AF17" s="9">
        <f t="shared" si="7"/>
        <v>0</v>
      </c>
      <c r="AG17" s="13">
        <f t="shared" si="14"/>
        <v>1</v>
      </c>
    </row>
    <row r="18" spans="1:33" x14ac:dyDescent="0.25">
      <c r="A18" s="22">
        <f>'Orçamento Resumo'!A18</f>
        <v>7</v>
      </c>
      <c r="B18" s="23" t="str">
        <f>'Orçamento Resumo'!B18</f>
        <v>COBERTURA E PROTEÇÕES</v>
      </c>
      <c r="C18" s="9">
        <f>'Orçamento Resumo'!C18</f>
        <v>18092.099999999999</v>
      </c>
      <c r="D18" s="12">
        <f>'Orçamento Resumo'!D18</f>
        <v>7.8036893838233673E-2</v>
      </c>
      <c r="E18" s="111">
        <f t="shared" si="8"/>
        <v>4734.7025699999995</v>
      </c>
      <c r="F18" s="10">
        <f t="shared" si="9"/>
        <v>22826.80257</v>
      </c>
      <c r="G18" s="10"/>
      <c r="H18" s="9">
        <f t="shared" si="10"/>
        <v>0</v>
      </c>
      <c r="I18" s="10"/>
      <c r="J18" s="9">
        <f t="shared" si="11"/>
        <v>0</v>
      </c>
      <c r="K18" s="10"/>
      <c r="L18" s="9">
        <f t="shared" si="12"/>
        <v>0</v>
      </c>
      <c r="M18" s="29"/>
      <c r="N18" s="9">
        <f t="shared" si="13"/>
        <v>0</v>
      </c>
      <c r="O18" s="29"/>
      <c r="P18" s="9">
        <f t="shared" si="13"/>
        <v>0</v>
      </c>
      <c r="Q18" s="29"/>
      <c r="R18" s="9">
        <f t="shared" si="0"/>
        <v>0</v>
      </c>
      <c r="S18" s="29"/>
      <c r="T18" s="9">
        <f t="shared" si="1"/>
        <v>0</v>
      </c>
      <c r="U18" s="29"/>
      <c r="V18" s="9">
        <f t="shared" si="2"/>
        <v>0</v>
      </c>
      <c r="W18" s="29"/>
      <c r="X18" s="9">
        <f t="shared" si="3"/>
        <v>0</v>
      </c>
      <c r="Y18" s="29"/>
      <c r="Z18" s="9">
        <f t="shared" si="4"/>
        <v>0</v>
      </c>
      <c r="AA18" s="29">
        <v>0.1</v>
      </c>
      <c r="AB18" s="9">
        <f t="shared" si="5"/>
        <v>2282.680257</v>
      </c>
      <c r="AC18" s="29">
        <v>0.4</v>
      </c>
      <c r="AD18" s="9">
        <f t="shared" si="6"/>
        <v>9130.7210279999999</v>
      </c>
      <c r="AE18" s="29">
        <v>0.5</v>
      </c>
      <c r="AF18" s="9">
        <f t="shared" si="7"/>
        <v>11413.401285</v>
      </c>
      <c r="AG18" s="13">
        <f t="shared" si="14"/>
        <v>1</v>
      </c>
    </row>
    <row r="19" spans="1:33" x14ac:dyDescent="0.25">
      <c r="A19" s="22">
        <f>'Orçamento Resumo'!A19</f>
        <v>8</v>
      </c>
      <c r="B19" s="23" t="str">
        <f>'Orçamento Resumo'!B19</f>
        <v>ESQUADRIAS METÁLICA</v>
      </c>
      <c r="C19" s="9">
        <f>'Orçamento Resumo'!C19</f>
        <v>14768.13</v>
      </c>
      <c r="D19" s="12">
        <f>'Orçamento Resumo'!D19</f>
        <v>6.3699570143832596E-2</v>
      </c>
      <c r="E19" s="111">
        <f t="shared" si="8"/>
        <v>3864.8196209999996</v>
      </c>
      <c r="F19" s="10">
        <f t="shared" si="9"/>
        <v>18632.949621</v>
      </c>
      <c r="G19" s="10"/>
      <c r="H19" s="9">
        <f t="shared" si="10"/>
        <v>0</v>
      </c>
      <c r="I19" s="10"/>
      <c r="J19" s="9">
        <f t="shared" si="11"/>
        <v>0</v>
      </c>
      <c r="K19" s="10"/>
      <c r="L19" s="9">
        <f t="shared" si="12"/>
        <v>0</v>
      </c>
      <c r="M19" s="29"/>
      <c r="N19" s="9">
        <f t="shared" si="13"/>
        <v>0</v>
      </c>
      <c r="O19" s="29"/>
      <c r="P19" s="9">
        <f t="shared" si="13"/>
        <v>0</v>
      </c>
      <c r="Q19" s="29"/>
      <c r="R19" s="9">
        <f t="shared" si="0"/>
        <v>0</v>
      </c>
      <c r="S19" s="29"/>
      <c r="T19" s="9">
        <f t="shared" si="1"/>
        <v>0</v>
      </c>
      <c r="U19" s="29"/>
      <c r="V19" s="9">
        <f t="shared" si="2"/>
        <v>0</v>
      </c>
      <c r="W19" s="29"/>
      <c r="X19" s="9">
        <f t="shared" si="3"/>
        <v>0</v>
      </c>
      <c r="Y19" s="29"/>
      <c r="Z19" s="9">
        <f t="shared" si="4"/>
        <v>0</v>
      </c>
      <c r="AA19" s="29">
        <v>0.2</v>
      </c>
      <c r="AB19" s="9">
        <f t="shared" si="5"/>
        <v>3726.5899242</v>
      </c>
      <c r="AC19" s="29">
        <v>0.2</v>
      </c>
      <c r="AD19" s="9">
        <f t="shared" si="6"/>
        <v>3726.5899242</v>
      </c>
      <c r="AE19" s="29">
        <v>0.6</v>
      </c>
      <c r="AF19" s="9">
        <f t="shared" si="7"/>
        <v>11179.769772599999</v>
      </c>
      <c r="AG19" s="13">
        <f t="shared" si="14"/>
        <v>1</v>
      </c>
    </row>
    <row r="20" spans="1:33" x14ac:dyDescent="0.25">
      <c r="A20" s="22">
        <f>'Orçamento Resumo'!A20</f>
        <v>9</v>
      </c>
      <c r="B20" s="23" t="str">
        <f>'Orçamento Resumo'!B20</f>
        <v>ESQUADRIAS DE MADEIRA</v>
      </c>
      <c r="C20" s="9">
        <f>'Orçamento Resumo'!C20</f>
        <v>826.94</v>
      </c>
      <c r="D20" s="12">
        <f>'Orçamento Resumo'!D20</f>
        <v>3.566851221836545E-3</v>
      </c>
      <c r="E20" s="111">
        <f t="shared" si="8"/>
        <v>216.41019800000001</v>
      </c>
      <c r="F20" s="10">
        <f t="shared" si="9"/>
        <v>1043.3501980000001</v>
      </c>
      <c r="G20" s="10"/>
      <c r="H20" s="9">
        <f t="shared" si="10"/>
        <v>0</v>
      </c>
      <c r="I20" s="10"/>
      <c r="J20" s="9">
        <f t="shared" si="11"/>
        <v>0</v>
      </c>
      <c r="K20" s="10"/>
      <c r="L20" s="9">
        <f t="shared" si="12"/>
        <v>0</v>
      </c>
      <c r="M20" s="29"/>
      <c r="N20" s="9">
        <f t="shared" si="13"/>
        <v>0</v>
      </c>
      <c r="O20" s="29"/>
      <c r="P20" s="9">
        <f t="shared" si="13"/>
        <v>0</v>
      </c>
      <c r="Q20" s="29"/>
      <c r="R20" s="9">
        <f t="shared" si="0"/>
        <v>0</v>
      </c>
      <c r="S20" s="29"/>
      <c r="T20" s="9">
        <f t="shared" si="1"/>
        <v>0</v>
      </c>
      <c r="U20" s="29"/>
      <c r="V20" s="9">
        <f t="shared" si="2"/>
        <v>0</v>
      </c>
      <c r="W20" s="29"/>
      <c r="X20" s="9">
        <f t="shared" si="3"/>
        <v>0</v>
      </c>
      <c r="Y20" s="29"/>
      <c r="Z20" s="9">
        <f t="shared" si="4"/>
        <v>0</v>
      </c>
      <c r="AA20" s="29"/>
      <c r="AB20" s="9">
        <f t="shared" si="5"/>
        <v>0</v>
      </c>
      <c r="AC20" s="29"/>
      <c r="AD20" s="9">
        <f t="shared" si="6"/>
        <v>0</v>
      </c>
      <c r="AE20" s="29">
        <v>1</v>
      </c>
      <c r="AF20" s="9">
        <f t="shared" si="7"/>
        <v>1043.3501980000001</v>
      </c>
      <c r="AG20" s="13">
        <f t="shared" si="14"/>
        <v>1</v>
      </c>
    </row>
    <row r="21" spans="1:33" x14ac:dyDescent="0.25">
      <c r="A21" s="22">
        <f>'Orçamento Resumo'!A21</f>
        <v>10</v>
      </c>
      <c r="B21" s="23" t="str">
        <f>'Orçamento Resumo'!B21</f>
        <v>VIDROS</v>
      </c>
      <c r="C21" s="9">
        <f>'Orçamento Resumo'!C21</f>
        <v>2752.73</v>
      </c>
      <c r="D21" s="12">
        <f>'Orçamento Resumo'!D21</f>
        <v>1.1873386659112042E-2</v>
      </c>
      <c r="E21" s="111">
        <f t="shared" si="8"/>
        <v>720.38944099999992</v>
      </c>
      <c r="F21" s="10">
        <f t="shared" si="9"/>
        <v>3473.1194409999998</v>
      </c>
      <c r="G21" s="10"/>
      <c r="H21" s="9">
        <f t="shared" si="10"/>
        <v>0</v>
      </c>
      <c r="I21" s="10"/>
      <c r="J21" s="9">
        <f t="shared" si="11"/>
        <v>0</v>
      </c>
      <c r="K21" s="10"/>
      <c r="L21" s="9">
        <f t="shared" si="12"/>
        <v>0</v>
      </c>
      <c r="M21" s="29"/>
      <c r="N21" s="9">
        <f t="shared" si="13"/>
        <v>0</v>
      </c>
      <c r="O21" s="29"/>
      <c r="P21" s="9">
        <f t="shared" si="13"/>
        <v>0</v>
      </c>
      <c r="Q21" s="29"/>
      <c r="R21" s="9">
        <f t="shared" si="0"/>
        <v>0</v>
      </c>
      <c r="S21" s="29"/>
      <c r="T21" s="9">
        <f t="shared" si="1"/>
        <v>0</v>
      </c>
      <c r="U21" s="29"/>
      <c r="V21" s="9">
        <f t="shared" si="2"/>
        <v>0</v>
      </c>
      <c r="W21" s="29"/>
      <c r="X21" s="9">
        <f t="shared" si="3"/>
        <v>0</v>
      </c>
      <c r="Y21" s="29"/>
      <c r="Z21" s="9">
        <f t="shared" si="4"/>
        <v>0</v>
      </c>
      <c r="AA21" s="29"/>
      <c r="AB21" s="9">
        <f t="shared" si="5"/>
        <v>0</v>
      </c>
      <c r="AC21" s="29">
        <v>0.5</v>
      </c>
      <c r="AD21" s="9">
        <f t="shared" si="6"/>
        <v>1736.5597204999999</v>
      </c>
      <c r="AE21" s="29">
        <v>0.5</v>
      </c>
      <c r="AF21" s="9">
        <f t="shared" si="7"/>
        <v>1736.5597204999999</v>
      </c>
      <c r="AG21" s="13">
        <f t="shared" si="14"/>
        <v>1</v>
      </c>
    </row>
    <row r="22" spans="1:33" x14ac:dyDescent="0.25">
      <c r="A22" s="22">
        <f>'Orçamento Resumo'!A22</f>
        <v>11</v>
      </c>
      <c r="B22" s="23" t="str">
        <f>'Orçamento Resumo'!B22</f>
        <v>FORROS</v>
      </c>
      <c r="C22" s="9">
        <f>'Orçamento Resumo'!C22</f>
        <v>643.4</v>
      </c>
      <c r="D22" s="12">
        <f>'Orçamento Resumo'!D22</f>
        <v>2.775185716170016E-3</v>
      </c>
      <c r="E22" s="111">
        <f t="shared" si="8"/>
        <v>168.37777999999997</v>
      </c>
      <c r="F22" s="10">
        <f t="shared" si="9"/>
        <v>811.77777999999989</v>
      </c>
      <c r="G22" s="10"/>
      <c r="H22" s="9">
        <f t="shared" si="10"/>
        <v>0</v>
      </c>
      <c r="I22" s="10"/>
      <c r="J22" s="9">
        <f t="shared" si="11"/>
        <v>0</v>
      </c>
      <c r="K22" s="10"/>
      <c r="L22" s="9">
        <f t="shared" si="12"/>
        <v>0</v>
      </c>
      <c r="M22" s="29"/>
      <c r="N22" s="9">
        <f t="shared" si="13"/>
        <v>0</v>
      </c>
      <c r="O22" s="29"/>
      <c r="P22" s="9">
        <f t="shared" si="13"/>
        <v>0</v>
      </c>
      <c r="Q22" s="29"/>
      <c r="R22" s="9">
        <f t="shared" si="0"/>
        <v>0</v>
      </c>
      <c r="S22" s="29"/>
      <c r="T22" s="9">
        <f t="shared" si="1"/>
        <v>0</v>
      </c>
      <c r="U22" s="29"/>
      <c r="V22" s="9">
        <f t="shared" si="2"/>
        <v>0</v>
      </c>
      <c r="W22" s="29"/>
      <c r="X22" s="9">
        <f t="shared" si="3"/>
        <v>0</v>
      </c>
      <c r="Y22" s="29"/>
      <c r="Z22" s="9">
        <f t="shared" si="4"/>
        <v>0</v>
      </c>
      <c r="AA22" s="29"/>
      <c r="AB22" s="9">
        <f t="shared" si="5"/>
        <v>0</v>
      </c>
      <c r="AC22" s="29">
        <v>0.5</v>
      </c>
      <c r="AD22" s="9">
        <f t="shared" si="6"/>
        <v>405.88888999999995</v>
      </c>
      <c r="AE22" s="29">
        <v>0.5</v>
      </c>
      <c r="AF22" s="9">
        <f t="shared" si="7"/>
        <v>405.88888999999995</v>
      </c>
      <c r="AG22" s="13">
        <f t="shared" si="14"/>
        <v>1</v>
      </c>
    </row>
    <row r="23" spans="1:33" x14ac:dyDescent="0.25">
      <c r="A23" s="22">
        <f>'Orçamento Resumo'!A23</f>
        <v>12</v>
      </c>
      <c r="B23" s="23" t="str">
        <f>'Orçamento Resumo'!B23</f>
        <v>REVESTIMENTO</v>
      </c>
      <c r="C23" s="9">
        <f>'Orçamento Resumo'!C23</f>
        <v>11712.34</v>
      </c>
      <c r="D23" s="12">
        <f>'Orçamento Resumo'!D23</f>
        <v>5.0518990784778874E-2</v>
      </c>
      <c r="E23" s="111">
        <f t="shared" si="8"/>
        <v>3065.1193779999999</v>
      </c>
      <c r="F23" s="10">
        <f t="shared" si="9"/>
        <v>14777.459378</v>
      </c>
      <c r="G23" s="10"/>
      <c r="H23" s="9">
        <f t="shared" si="10"/>
        <v>0</v>
      </c>
      <c r="I23" s="10"/>
      <c r="J23" s="9">
        <f t="shared" si="11"/>
        <v>0</v>
      </c>
      <c r="K23" s="10"/>
      <c r="L23" s="9">
        <f t="shared" si="12"/>
        <v>0</v>
      </c>
      <c r="M23" s="29"/>
      <c r="N23" s="9">
        <f t="shared" si="13"/>
        <v>0</v>
      </c>
      <c r="O23" s="29"/>
      <c r="P23" s="9">
        <f t="shared" si="13"/>
        <v>0</v>
      </c>
      <c r="Q23" s="29"/>
      <c r="R23" s="9">
        <f t="shared" si="0"/>
        <v>0</v>
      </c>
      <c r="S23" s="29"/>
      <c r="T23" s="9">
        <f t="shared" si="1"/>
        <v>0</v>
      </c>
      <c r="U23" s="29"/>
      <c r="V23" s="9">
        <f t="shared" si="2"/>
        <v>0</v>
      </c>
      <c r="W23" s="29"/>
      <c r="X23" s="9">
        <f t="shared" si="3"/>
        <v>0</v>
      </c>
      <c r="Y23" s="29">
        <v>0.3</v>
      </c>
      <c r="Z23" s="9">
        <f t="shared" si="4"/>
        <v>4433.2378134000001</v>
      </c>
      <c r="AA23" s="29">
        <v>0.4</v>
      </c>
      <c r="AB23" s="9">
        <f t="shared" si="5"/>
        <v>5910.9837512000004</v>
      </c>
      <c r="AC23" s="29">
        <v>0.3</v>
      </c>
      <c r="AD23" s="9">
        <f t="shared" si="6"/>
        <v>4433.2378134000001</v>
      </c>
      <c r="AE23" s="29"/>
      <c r="AF23" s="9">
        <f t="shared" si="7"/>
        <v>0</v>
      </c>
      <c r="AG23" s="13">
        <f t="shared" si="14"/>
        <v>1</v>
      </c>
    </row>
    <row r="24" spans="1:33" x14ac:dyDescent="0.25">
      <c r="A24" s="22">
        <f>'Orçamento Resumo'!A24</f>
        <v>13</v>
      </c>
      <c r="B24" s="23" t="str">
        <f>'Orçamento Resumo'!B24</f>
        <v>PAVIMENTAÇÃO</v>
      </c>
      <c r="C24" s="9">
        <f>'Orçamento Resumo'!C24</f>
        <v>5203.71</v>
      </c>
      <c r="D24" s="12">
        <f>'Orçamento Resumo'!D24</f>
        <v>2.2445231058581091E-2</v>
      </c>
      <c r="E24" s="111">
        <f t="shared" si="8"/>
        <v>1361.810907</v>
      </c>
      <c r="F24" s="10">
        <f t="shared" si="9"/>
        <v>6565.5209070000001</v>
      </c>
      <c r="G24" s="10"/>
      <c r="H24" s="9">
        <f t="shared" si="10"/>
        <v>0</v>
      </c>
      <c r="I24" s="10"/>
      <c r="J24" s="9">
        <f t="shared" si="11"/>
        <v>0</v>
      </c>
      <c r="K24" s="10"/>
      <c r="L24" s="9">
        <f t="shared" si="12"/>
        <v>0</v>
      </c>
      <c r="M24" s="29"/>
      <c r="N24" s="9">
        <f t="shared" si="13"/>
        <v>0</v>
      </c>
      <c r="O24" s="29"/>
      <c r="P24" s="9">
        <f t="shared" si="13"/>
        <v>0</v>
      </c>
      <c r="Q24" s="29"/>
      <c r="R24" s="9">
        <f t="shared" si="0"/>
        <v>0</v>
      </c>
      <c r="S24" s="29"/>
      <c r="T24" s="9">
        <f t="shared" si="1"/>
        <v>0</v>
      </c>
      <c r="U24" s="29"/>
      <c r="V24" s="9">
        <f t="shared" si="2"/>
        <v>0</v>
      </c>
      <c r="W24" s="29">
        <v>0.1</v>
      </c>
      <c r="X24" s="9">
        <f t="shared" si="3"/>
        <v>656.55209070000001</v>
      </c>
      <c r="Y24" s="29">
        <v>0.2</v>
      </c>
      <c r="Z24" s="9">
        <f t="shared" si="4"/>
        <v>1313.1041814</v>
      </c>
      <c r="AA24" s="29">
        <v>0.2</v>
      </c>
      <c r="AB24" s="9">
        <f t="shared" si="5"/>
        <v>1313.1041814</v>
      </c>
      <c r="AC24" s="29">
        <v>0.5</v>
      </c>
      <c r="AD24" s="9">
        <f t="shared" si="6"/>
        <v>3282.7604535</v>
      </c>
      <c r="AE24" s="29"/>
      <c r="AF24" s="9">
        <f t="shared" si="7"/>
        <v>0</v>
      </c>
      <c r="AG24" s="13">
        <f t="shared" si="14"/>
        <v>1</v>
      </c>
    </row>
    <row r="25" spans="1:33" x14ac:dyDescent="0.25">
      <c r="A25" s="22">
        <f>'Orçamento Resumo'!A25</f>
        <v>14</v>
      </c>
      <c r="B25" s="23" t="str">
        <f>'Orçamento Resumo'!B25</f>
        <v>INSTALAÇÕES HIDRO-SANITÁRIAS</v>
      </c>
      <c r="C25" s="9">
        <f>'Orçamento Resumo'!C25</f>
        <v>1001.85</v>
      </c>
      <c r="D25" s="12">
        <f>'Orçamento Resumo'!D25</f>
        <v>4.3212928345429443E-3</v>
      </c>
      <c r="E25" s="111">
        <f t="shared" si="8"/>
        <v>262.184145</v>
      </c>
      <c r="F25" s="10">
        <f t="shared" si="9"/>
        <v>1264.0341450000001</v>
      </c>
      <c r="G25" s="10"/>
      <c r="H25" s="9">
        <f t="shared" si="10"/>
        <v>0</v>
      </c>
      <c r="I25" s="10"/>
      <c r="J25" s="9">
        <f t="shared" si="11"/>
        <v>0</v>
      </c>
      <c r="K25" s="10"/>
      <c r="L25" s="9">
        <f t="shared" si="12"/>
        <v>0</v>
      </c>
      <c r="M25" s="29"/>
      <c r="N25" s="9">
        <f t="shared" si="13"/>
        <v>0</v>
      </c>
      <c r="O25" s="29"/>
      <c r="P25" s="9">
        <f t="shared" si="13"/>
        <v>0</v>
      </c>
      <c r="Q25" s="29">
        <v>0.05</v>
      </c>
      <c r="R25" s="9">
        <f t="shared" si="0"/>
        <v>63.201707250000005</v>
      </c>
      <c r="S25" s="29">
        <v>0.05</v>
      </c>
      <c r="T25" s="9">
        <f t="shared" si="1"/>
        <v>63.201707250000005</v>
      </c>
      <c r="U25" s="29">
        <v>0.1</v>
      </c>
      <c r="V25" s="9">
        <f t="shared" si="2"/>
        <v>126.40341450000001</v>
      </c>
      <c r="W25" s="29">
        <v>0.1</v>
      </c>
      <c r="X25" s="9">
        <f t="shared" si="3"/>
        <v>126.40341450000001</v>
      </c>
      <c r="Y25" s="29">
        <v>0.2</v>
      </c>
      <c r="Z25" s="9">
        <f t="shared" si="4"/>
        <v>252.80682900000002</v>
      </c>
      <c r="AA25" s="29">
        <v>0.3</v>
      </c>
      <c r="AB25" s="9">
        <f t="shared" si="5"/>
        <v>379.21024349999999</v>
      </c>
      <c r="AC25" s="29">
        <v>0.2</v>
      </c>
      <c r="AD25" s="9">
        <f t="shared" si="6"/>
        <v>252.80682900000002</v>
      </c>
      <c r="AE25" s="29"/>
      <c r="AF25" s="9">
        <f t="shared" si="7"/>
        <v>0</v>
      </c>
      <c r="AG25" s="13">
        <f t="shared" si="14"/>
        <v>1</v>
      </c>
    </row>
    <row r="26" spans="1:33" x14ac:dyDescent="0.25">
      <c r="A26" s="22">
        <f>'Orçamento Resumo'!A26</f>
        <v>15</v>
      </c>
      <c r="B26" s="23" t="str">
        <f>'Orçamento Resumo'!B26</f>
        <v xml:space="preserve">INSTALAÇÕES ELÉTRICAS </v>
      </c>
      <c r="C26" s="9">
        <f>'Orçamento Resumo'!C26</f>
        <v>9408.33</v>
      </c>
      <c r="D26" s="12">
        <f>'Orçamento Resumo'!D26</f>
        <v>4.0581074027065352E-2</v>
      </c>
      <c r="E26" s="111">
        <f t="shared" si="8"/>
        <v>2462.1599609999998</v>
      </c>
      <c r="F26" s="10">
        <f t="shared" si="9"/>
        <v>11870.489960999999</v>
      </c>
      <c r="G26" s="10"/>
      <c r="H26" s="9">
        <f t="shared" si="10"/>
        <v>0</v>
      </c>
      <c r="I26" s="10"/>
      <c r="J26" s="9">
        <f t="shared" si="11"/>
        <v>0</v>
      </c>
      <c r="K26" s="10"/>
      <c r="L26" s="9">
        <f t="shared" si="12"/>
        <v>0</v>
      </c>
      <c r="M26" s="29"/>
      <c r="N26" s="9">
        <f t="shared" si="13"/>
        <v>0</v>
      </c>
      <c r="O26" s="29"/>
      <c r="P26" s="9">
        <f t="shared" si="13"/>
        <v>0</v>
      </c>
      <c r="Q26" s="29"/>
      <c r="R26" s="9">
        <f t="shared" si="0"/>
        <v>0</v>
      </c>
      <c r="S26" s="29">
        <v>0.1</v>
      </c>
      <c r="T26" s="9">
        <f t="shared" si="1"/>
        <v>1187.0489961000001</v>
      </c>
      <c r="U26" s="29">
        <v>0.1</v>
      </c>
      <c r="V26" s="9">
        <f t="shared" si="2"/>
        <v>1187.0489961000001</v>
      </c>
      <c r="W26" s="29">
        <v>0.1</v>
      </c>
      <c r="X26" s="9">
        <f t="shared" si="3"/>
        <v>1187.0489961000001</v>
      </c>
      <c r="Y26" s="29">
        <v>0.15</v>
      </c>
      <c r="Z26" s="9">
        <f t="shared" si="4"/>
        <v>1780.5734941499998</v>
      </c>
      <c r="AA26" s="29">
        <v>0.15</v>
      </c>
      <c r="AB26" s="9">
        <f t="shared" si="5"/>
        <v>1780.5734941499998</v>
      </c>
      <c r="AC26" s="29">
        <v>0.2</v>
      </c>
      <c r="AD26" s="9">
        <f t="shared" si="6"/>
        <v>2374.0979922000001</v>
      </c>
      <c r="AE26" s="29">
        <v>0.2</v>
      </c>
      <c r="AF26" s="9">
        <f t="shared" si="7"/>
        <v>2374.0979922000001</v>
      </c>
      <c r="AG26" s="13">
        <f t="shared" si="14"/>
        <v>1</v>
      </c>
    </row>
    <row r="27" spans="1:33" x14ac:dyDescent="0.25">
      <c r="A27" s="22">
        <f>'Orçamento Resumo'!A27</f>
        <v>16</v>
      </c>
      <c r="B27" s="23" t="str">
        <f>'Orçamento Resumo'!B27</f>
        <v>INSTALAÇÃO DE COMBATE A INCÊNDIO E PÂNICO</v>
      </c>
      <c r="C27" s="9">
        <f>'Orçamento Resumo'!C27</f>
        <v>371.27</v>
      </c>
      <c r="D27" s="12">
        <f>'Orçamento Resumo'!D27</f>
        <v>1.6014037936624833E-3</v>
      </c>
      <c r="E27" s="111">
        <f t="shared" si="8"/>
        <v>97.16135899999999</v>
      </c>
      <c r="F27" s="10">
        <f t="shared" si="9"/>
        <v>468.43135899999999</v>
      </c>
      <c r="G27" s="10"/>
      <c r="H27" s="9">
        <f t="shared" si="10"/>
        <v>0</v>
      </c>
      <c r="I27" s="10"/>
      <c r="J27" s="9">
        <f t="shared" si="11"/>
        <v>0</v>
      </c>
      <c r="K27" s="10"/>
      <c r="L27" s="9">
        <f t="shared" si="12"/>
        <v>0</v>
      </c>
      <c r="M27" s="29"/>
      <c r="N27" s="9">
        <f t="shared" si="13"/>
        <v>0</v>
      </c>
      <c r="O27" s="29"/>
      <c r="P27" s="9">
        <f t="shared" si="13"/>
        <v>0</v>
      </c>
      <c r="Q27" s="29"/>
      <c r="R27" s="9">
        <f t="shared" si="0"/>
        <v>0</v>
      </c>
      <c r="S27" s="29"/>
      <c r="T27" s="9">
        <f t="shared" si="1"/>
        <v>0</v>
      </c>
      <c r="U27" s="29"/>
      <c r="V27" s="9">
        <f t="shared" si="2"/>
        <v>0</v>
      </c>
      <c r="W27" s="29"/>
      <c r="X27" s="9">
        <f t="shared" si="3"/>
        <v>0</v>
      </c>
      <c r="Y27" s="29"/>
      <c r="Z27" s="9">
        <f t="shared" si="4"/>
        <v>0</v>
      </c>
      <c r="AA27" s="29">
        <v>0.2</v>
      </c>
      <c r="AB27" s="9">
        <f t="shared" si="5"/>
        <v>93.6862718</v>
      </c>
      <c r="AC27" s="29">
        <v>0.3</v>
      </c>
      <c r="AD27" s="9">
        <f t="shared" si="6"/>
        <v>140.52940769999998</v>
      </c>
      <c r="AE27" s="29">
        <v>0.5</v>
      </c>
      <c r="AF27" s="9">
        <f t="shared" si="7"/>
        <v>234.21567949999999</v>
      </c>
      <c r="AG27" s="13">
        <f t="shared" si="14"/>
        <v>1</v>
      </c>
    </row>
    <row r="28" spans="1:33" x14ac:dyDescent="0.25">
      <c r="A28" s="22">
        <f>'Orçamento Resumo'!A28</f>
        <v>17</v>
      </c>
      <c r="B28" s="23" t="str">
        <f>'Orçamento Resumo'!B28</f>
        <v>CABEAMENTO ESTRUTURADO E TELEFÔNICO</v>
      </c>
      <c r="C28" s="9">
        <f>'Orçamento Resumo'!C28</f>
        <v>8913.5400000000009</v>
      </c>
      <c r="D28" s="12">
        <f>'Orçamento Resumo'!D28</f>
        <v>3.8446889786307253E-2</v>
      </c>
      <c r="E28" s="111">
        <f t="shared" si="8"/>
        <v>2332.6734180000003</v>
      </c>
      <c r="F28" s="10">
        <f t="shared" si="9"/>
        <v>11246.213418000001</v>
      </c>
      <c r="G28" s="10"/>
      <c r="H28" s="9">
        <f t="shared" si="10"/>
        <v>0</v>
      </c>
      <c r="I28" s="10"/>
      <c r="J28" s="9">
        <f t="shared" si="11"/>
        <v>0</v>
      </c>
      <c r="K28" s="10"/>
      <c r="L28" s="9">
        <f t="shared" si="12"/>
        <v>0</v>
      </c>
      <c r="M28" s="29"/>
      <c r="N28" s="9">
        <f t="shared" si="13"/>
        <v>0</v>
      </c>
      <c r="O28" s="29"/>
      <c r="P28" s="9">
        <f t="shared" si="13"/>
        <v>0</v>
      </c>
      <c r="Q28" s="29"/>
      <c r="R28" s="9">
        <f t="shared" si="0"/>
        <v>0</v>
      </c>
      <c r="S28" s="29"/>
      <c r="T28" s="9">
        <f t="shared" si="1"/>
        <v>0</v>
      </c>
      <c r="U28" s="29"/>
      <c r="V28" s="9">
        <f t="shared" si="2"/>
        <v>0</v>
      </c>
      <c r="W28" s="29"/>
      <c r="X28" s="9">
        <f t="shared" si="3"/>
        <v>0</v>
      </c>
      <c r="Y28" s="29"/>
      <c r="Z28" s="9">
        <f t="shared" si="4"/>
        <v>0</v>
      </c>
      <c r="AA28" s="29">
        <v>0.2</v>
      </c>
      <c r="AB28" s="9">
        <f t="shared" si="5"/>
        <v>2249.2426836000004</v>
      </c>
      <c r="AC28" s="29">
        <v>0.3</v>
      </c>
      <c r="AD28" s="9">
        <f t="shared" si="6"/>
        <v>3373.8640254000002</v>
      </c>
      <c r="AE28" s="29">
        <v>0.5</v>
      </c>
      <c r="AF28" s="9">
        <f t="shared" si="7"/>
        <v>5623.1067090000006</v>
      </c>
      <c r="AG28" s="13">
        <f t="shared" si="14"/>
        <v>1</v>
      </c>
    </row>
    <row r="29" spans="1:33" x14ac:dyDescent="0.25">
      <c r="A29" s="22">
        <f>'Orçamento Resumo'!A29</f>
        <v>18</v>
      </c>
      <c r="B29" s="23" t="str">
        <f>'Orçamento Resumo'!B29</f>
        <v>PINTURA</v>
      </c>
      <c r="C29" s="9">
        <f>'Orçamento Resumo'!C29</f>
        <v>12470.74</v>
      </c>
      <c r="D29" s="12">
        <f>'Orçamento Resumo'!D29</f>
        <v>5.3790207519536934E-2</v>
      </c>
      <c r="E29" s="111">
        <f t="shared" si="8"/>
        <v>3263.5926579999996</v>
      </c>
      <c r="F29" s="10">
        <f t="shared" si="9"/>
        <v>15734.332657999999</v>
      </c>
      <c r="G29" s="10"/>
      <c r="H29" s="9">
        <f t="shared" si="10"/>
        <v>0</v>
      </c>
      <c r="I29" s="10"/>
      <c r="J29" s="9">
        <f t="shared" si="11"/>
        <v>0</v>
      </c>
      <c r="K29" s="10"/>
      <c r="L29" s="9">
        <f t="shared" si="12"/>
        <v>0</v>
      </c>
      <c r="M29" s="29"/>
      <c r="N29" s="9">
        <f t="shared" si="13"/>
        <v>0</v>
      </c>
      <c r="O29" s="29"/>
      <c r="P29" s="9">
        <f t="shared" si="13"/>
        <v>0</v>
      </c>
      <c r="Q29" s="29"/>
      <c r="R29" s="9">
        <f t="shared" si="0"/>
        <v>0</v>
      </c>
      <c r="S29" s="29"/>
      <c r="T29" s="9">
        <f t="shared" si="1"/>
        <v>0</v>
      </c>
      <c r="U29" s="29"/>
      <c r="V29" s="9">
        <f t="shared" si="2"/>
        <v>0</v>
      </c>
      <c r="W29" s="29"/>
      <c r="X29" s="9">
        <f t="shared" si="3"/>
        <v>0</v>
      </c>
      <c r="Y29" s="29"/>
      <c r="Z29" s="9">
        <f t="shared" si="4"/>
        <v>0</v>
      </c>
      <c r="AA29" s="29"/>
      <c r="AB29" s="9">
        <f t="shared" si="5"/>
        <v>0</v>
      </c>
      <c r="AC29" s="29"/>
      <c r="AD29" s="9">
        <f t="shared" si="6"/>
        <v>0</v>
      </c>
      <c r="AE29" s="29">
        <v>1</v>
      </c>
      <c r="AF29" s="9">
        <f t="shared" si="7"/>
        <v>15734.332657999999</v>
      </c>
      <c r="AG29" s="13">
        <f t="shared" si="14"/>
        <v>1</v>
      </c>
    </row>
    <row r="30" spans="1:33" x14ac:dyDescent="0.25">
      <c r="A30" s="22">
        <f>'Orçamento Resumo'!A30</f>
        <v>19</v>
      </c>
      <c r="B30" s="23" t="str">
        <f>'Orçamento Resumo'!B30</f>
        <v>BANCADAS, LOUÇAS, METAIS E ACESSÓRIOS</v>
      </c>
      <c r="C30" s="9">
        <f>'Orçamento Resumo'!C30</f>
        <v>1325.09</v>
      </c>
      <c r="D30" s="12">
        <f>'Orçamento Resumo'!D30</f>
        <v>5.7155281949638273E-3</v>
      </c>
      <c r="E30" s="111">
        <f t="shared" si="8"/>
        <v>346.77605299999999</v>
      </c>
      <c r="F30" s="10">
        <f t="shared" si="9"/>
        <v>1671.866053</v>
      </c>
      <c r="G30" s="10"/>
      <c r="H30" s="9">
        <f t="shared" si="10"/>
        <v>0</v>
      </c>
      <c r="I30" s="10"/>
      <c r="J30" s="9">
        <f t="shared" si="11"/>
        <v>0</v>
      </c>
      <c r="K30" s="10"/>
      <c r="L30" s="9">
        <f t="shared" si="12"/>
        <v>0</v>
      </c>
      <c r="M30" s="29"/>
      <c r="N30" s="9">
        <f t="shared" si="13"/>
        <v>0</v>
      </c>
      <c r="O30" s="29"/>
      <c r="P30" s="9">
        <f t="shared" si="13"/>
        <v>0</v>
      </c>
      <c r="Q30" s="29"/>
      <c r="R30" s="9">
        <f t="shared" si="0"/>
        <v>0</v>
      </c>
      <c r="S30" s="29"/>
      <c r="T30" s="9">
        <f t="shared" si="1"/>
        <v>0</v>
      </c>
      <c r="U30" s="29"/>
      <c r="V30" s="9">
        <f t="shared" si="2"/>
        <v>0</v>
      </c>
      <c r="W30" s="29"/>
      <c r="X30" s="9">
        <f t="shared" si="3"/>
        <v>0</v>
      </c>
      <c r="Y30" s="29"/>
      <c r="Z30" s="9">
        <f t="shared" si="4"/>
        <v>0</v>
      </c>
      <c r="AA30" s="29"/>
      <c r="AB30" s="9">
        <f t="shared" si="5"/>
        <v>0</v>
      </c>
      <c r="AC30" s="29">
        <v>0.5</v>
      </c>
      <c r="AD30" s="9">
        <f t="shared" si="6"/>
        <v>835.93302649999998</v>
      </c>
      <c r="AE30" s="29">
        <v>0.5</v>
      </c>
      <c r="AF30" s="9">
        <f t="shared" si="7"/>
        <v>835.93302649999998</v>
      </c>
      <c r="AG30" s="13">
        <f t="shared" si="14"/>
        <v>1</v>
      </c>
    </row>
    <row r="31" spans="1:33" x14ac:dyDescent="0.25">
      <c r="A31" s="22">
        <f>'Orçamento Resumo'!A31</f>
        <v>20</v>
      </c>
      <c r="B31" s="23" t="str">
        <f>'Orçamento Resumo'!B31</f>
        <v>SERVIÇOS COMPLEMENTARES</v>
      </c>
      <c r="C31" s="9">
        <f>'Orçamento Resumo'!C31</f>
        <v>8434.0300000000007</v>
      </c>
      <c r="D31" s="12">
        <f>'Orçamento Resumo'!D31</f>
        <v>3.6378612971323283E-2</v>
      </c>
      <c r="E31" s="111">
        <f t="shared" si="8"/>
        <v>2207.1856510000002</v>
      </c>
      <c r="F31" s="10">
        <f t="shared" si="9"/>
        <v>10641.215651</v>
      </c>
      <c r="G31" s="10"/>
      <c r="H31" s="9">
        <f t="shared" si="10"/>
        <v>0</v>
      </c>
      <c r="I31" s="10"/>
      <c r="J31" s="9">
        <f t="shared" si="11"/>
        <v>0</v>
      </c>
      <c r="K31" s="10"/>
      <c r="L31" s="9">
        <f t="shared" si="12"/>
        <v>0</v>
      </c>
      <c r="M31" s="29"/>
      <c r="N31" s="9">
        <f t="shared" si="13"/>
        <v>0</v>
      </c>
      <c r="O31" s="29"/>
      <c r="P31" s="9">
        <f t="shared" si="13"/>
        <v>0</v>
      </c>
      <c r="Q31" s="29"/>
      <c r="R31" s="9">
        <f t="shared" si="0"/>
        <v>0</v>
      </c>
      <c r="S31" s="29"/>
      <c r="T31" s="9">
        <f t="shared" si="1"/>
        <v>0</v>
      </c>
      <c r="U31" s="29"/>
      <c r="V31" s="9">
        <f t="shared" si="2"/>
        <v>0</v>
      </c>
      <c r="W31" s="29"/>
      <c r="X31" s="9">
        <f t="shared" si="3"/>
        <v>0</v>
      </c>
      <c r="Y31" s="29"/>
      <c r="Z31" s="9">
        <f t="shared" si="4"/>
        <v>0</v>
      </c>
      <c r="AA31" s="29"/>
      <c r="AB31" s="9">
        <f t="shared" si="5"/>
        <v>0</v>
      </c>
      <c r="AC31" s="29">
        <v>0.3</v>
      </c>
      <c r="AD31" s="9">
        <f t="shared" si="6"/>
        <v>3192.3646953000002</v>
      </c>
      <c r="AE31" s="29">
        <v>0.7</v>
      </c>
      <c r="AF31" s="9">
        <f t="shared" si="7"/>
        <v>7448.8509556999998</v>
      </c>
      <c r="AG31" s="13">
        <f t="shared" si="14"/>
        <v>1</v>
      </c>
    </row>
    <row r="32" spans="1:33" ht="16.5" x14ac:dyDescent="0.3">
      <c r="A32" s="91"/>
      <c r="B32" s="101" t="s">
        <v>24</v>
      </c>
      <c r="C32" s="93">
        <f>SUM(C12:C31)</f>
        <v>231840.34</v>
      </c>
      <c r="D32" s="96">
        <f>SUM(D12:D31)</f>
        <v>0.99999999999999978</v>
      </c>
      <c r="E32" s="95">
        <f>SUM(E12:E31)</f>
        <v>60672.616978000005</v>
      </c>
      <c r="F32" s="95">
        <f>SUM(F12:F31)</f>
        <v>292512.95697799994</v>
      </c>
      <c r="G32" s="102">
        <f>H32/$F$32</f>
        <v>0</v>
      </c>
      <c r="H32" s="103">
        <f>SUM(H12:H31)</f>
        <v>0</v>
      </c>
      <c r="I32" s="102">
        <f>J32/$F$32</f>
        <v>0</v>
      </c>
      <c r="J32" s="103">
        <f>SUM(J12:J31)</f>
        <v>0</v>
      </c>
      <c r="K32" s="102">
        <f>L32/$F$32</f>
        <v>0</v>
      </c>
      <c r="L32" s="103">
        <f>SUM(L12:L31)</f>
        <v>0</v>
      </c>
      <c r="M32" s="102">
        <f>N32/$F$32</f>
        <v>7.3889556925252975E-3</v>
      </c>
      <c r="N32" s="104">
        <f>SUM(N12:N31)</f>
        <v>2161.3652786000002</v>
      </c>
      <c r="O32" s="102">
        <f>P32/$F$32</f>
        <v>1.3875117677967522E-2</v>
      </c>
      <c r="P32" s="104">
        <f>SUM(P12:P31)</f>
        <v>4058.6517004000002</v>
      </c>
      <c r="Q32" s="102">
        <f>R32/$F$32</f>
        <v>6.9437257985387718E-2</v>
      </c>
      <c r="R32" s="104">
        <f>SUM(R12:R31)</f>
        <v>20311.297657750001</v>
      </c>
      <c r="S32" s="102">
        <f>T32/$F$32</f>
        <v>0.11505600147066729</v>
      </c>
      <c r="T32" s="104">
        <f>SUM(T12:T31)</f>
        <v>33655.371208249999</v>
      </c>
      <c r="U32" s="102">
        <f>V32/$F$32</f>
        <v>0.16467697122942454</v>
      </c>
      <c r="V32" s="104">
        <f>SUM(V12:V31)</f>
        <v>48170.147800499995</v>
      </c>
      <c r="W32" s="102">
        <f>X32/$F$32</f>
        <v>0.21244142412834632</v>
      </c>
      <c r="X32" s="104">
        <f>SUM(X12:X31)</f>
        <v>62141.869156400004</v>
      </c>
      <c r="Y32" s="102">
        <f>Z32/$F$32</f>
        <v>3.0481138442084759E-2</v>
      </c>
      <c r="Z32" s="104">
        <f>SUM(Z12:Z31)</f>
        <v>8916.1279377499995</v>
      </c>
      <c r="AA32" s="102">
        <f>AB32/F32</f>
        <v>7.0177646823671863E-2</v>
      </c>
      <c r="AB32" s="104">
        <f>SUM(AB12:AB31)</f>
        <v>20527.870986150003</v>
      </c>
      <c r="AC32" s="102">
        <f>AD32/F32</f>
        <v>0.1180827978426878</v>
      </c>
      <c r="AD32" s="104">
        <f>SUM(AD12:AD31)</f>
        <v>34540.748365200001</v>
      </c>
      <c r="AE32" s="102">
        <f>AF32/F32</f>
        <v>0.1983826887072371</v>
      </c>
      <c r="AF32" s="104">
        <f>SUM(AF12:AF31)</f>
        <v>58029.506887000003</v>
      </c>
    </row>
    <row r="33" spans="1:32" s="2" customFormat="1" ht="16.5" x14ac:dyDescent="0.35">
      <c r="A33" s="105"/>
      <c r="B33" s="101" t="s">
        <v>32</v>
      </c>
      <c r="C33" s="93"/>
      <c r="D33" s="93"/>
      <c r="E33" s="106"/>
      <c r="F33" s="107"/>
      <c r="G33" s="102">
        <f t="shared" ref="G33:N33" si="15">G32</f>
        <v>0</v>
      </c>
      <c r="H33" s="103">
        <f t="shared" si="15"/>
        <v>0</v>
      </c>
      <c r="I33" s="102">
        <f t="shared" si="15"/>
        <v>0</v>
      </c>
      <c r="J33" s="103">
        <f t="shared" si="15"/>
        <v>0</v>
      </c>
      <c r="K33" s="102">
        <f t="shared" si="15"/>
        <v>0</v>
      </c>
      <c r="L33" s="103">
        <f t="shared" si="15"/>
        <v>0</v>
      </c>
      <c r="M33" s="102">
        <f t="shared" si="15"/>
        <v>7.3889556925252975E-3</v>
      </c>
      <c r="N33" s="104">
        <f t="shared" si="15"/>
        <v>2161.3652786000002</v>
      </c>
      <c r="O33" s="102">
        <f t="shared" ref="O33:X33" si="16">O32+M33</f>
        <v>2.1264073370492818E-2</v>
      </c>
      <c r="P33" s="104">
        <f t="shared" si="16"/>
        <v>6220.016979</v>
      </c>
      <c r="Q33" s="102">
        <f t="shared" si="16"/>
        <v>9.0701331355880543E-2</v>
      </c>
      <c r="R33" s="104">
        <f t="shared" si="16"/>
        <v>26531.314636750001</v>
      </c>
      <c r="S33" s="102">
        <f>S32+M33</f>
        <v>0.12244495716319259</v>
      </c>
      <c r="T33" s="104">
        <f t="shared" si="16"/>
        <v>60186.685845</v>
      </c>
      <c r="U33" s="102">
        <f>U32+S33</f>
        <v>0.28712192839261713</v>
      </c>
      <c r="V33" s="104">
        <f t="shared" si="16"/>
        <v>108356.8336455</v>
      </c>
      <c r="W33" s="102">
        <f>W32+Q33</f>
        <v>0.30314275548422687</v>
      </c>
      <c r="X33" s="104">
        <f t="shared" si="16"/>
        <v>170498.70280189998</v>
      </c>
      <c r="Y33" s="102">
        <f>Y32+W33</f>
        <v>0.33362389392631164</v>
      </c>
      <c r="Z33" s="104">
        <f>Z32+X33</f>
        <v>179414.83073964997</v>
      </c>
      <c r="AA33" s="102">
        <f>AA32+Y33</f>
        <v>0.40380154074998353</v>
      </c>
      <c r="AB33" s="104">
        <f>AB32+Z33</f>
        <v>199942.70172579997</v>
      </c>
      <c r="AC33" s="102">
        <f>AA33+AC32</f>
        <v>0.52188433859267136</v>
      </c>
      <c r="AD33" s="104">
        <f>AD32+AB33</f>
        <v>234483.45009099998</v>
      </c>
      <c r="AE33" s="102">
        <f>AE32+AC33</f>
        <v>0.72026702729990844</v>
      </c>
      <c r="AF33" s="108">
        <f>AF32+AD33</f>
        <v>292512.956978</v>
      </c>
    </row>
    <row r="34" spans="1:32" x14ac:dyDescent="0.25">
      <c r="N34" s="7"/>
      <c r="P34" s="7"/>
    </row>
    <row r="35" spans="1:32" x14ac:dyDescent="0.25">
      <c r="N35" s="7"/>
      <c r="P35" s="7"/>
      <c r="T35" s="24"/>
      <c r="U35" s="24"/>
      <c r="V35" s="24"/>
    </row>
    <row r="36" spans="1:32" x14ac:dyDescent="0.25">
      <c r="T36" s="25"/>
      <c r="U36" s="26"/>
      <c r="V36" s="27"/>
      <c r="X36" s="25"/>
      <c r="Y36" s="26"/>
      <c r="Z36" s="27"/>
    </row>
    <row r="37" spans="1:32" ht="14.25" x14ac:dyDescent="0.25">
      <c r="T37" s="287"/>
      <c r="U37" s="287"/>
      <c r="V37" s="287"/>
      <c r="X37" s="28"/>
      <c r="Y37" s="28"/>
      <c r="Z37" s="28"/>
    </row>
    <row r="38" spans="1:32" ht="14.25" x14ac:dyDescent="0.25">
      <c r="T38" s="287"/>
      <c r="U38" s="287"/>
      <c r="V38" s="287"/>
      <c r="X38" s="28"/>
      <c r="Y38" s="28"/>
      <c r="Z38" s="28"/>
      <c r="AA38" s="7"/>
    </row>
    <row r="39" spans="1:32" x14ac:dyDescent="0.25">
      <c r="T39" s="24"/>
      <c r="U39" s="24"/>
      <c r="V39" s="24"/>
    </row>
  </sheetData>
  <mergeCells count="24">
    <mergeCell ref="A7:F7"/>
    <mergeCell ref="A9:F9"/>
    <mergeCell ref="A8:F8"/>
    <mergeCell ref="S10:T10"/>
    <mergeCell ref="AE10:AF10"/>
    <mergeCell ref="E10:E11"/>
    <mergeCell ref="C10:C11"/>
    <mergeCell ref="B10:B11"/>
    <mergeCell ref="A10:A11"/>
    <mergeCell ref="D10:D11"/>
    <mergeCell ref="AC10:AD10"/>
    <mergeCell ref="Q10:R10"/>
    <mergeCell ref="U10:V10"/>
    <mergeCell ref="AA10:AB10"/>
    <mergeCell ref="W10:X10"/>
    <mergeCell ref="Y10:Z10"/>
    <mergeCell ref="I10:J10"/>
    <mergeCell ref="K10:L10"/>
    <mergeCell ref="M10:N10"/>
    <mergeCell ref="T38:V38"/>
    <mergeCell ref="F10:F11"/>
    <mergeCell ref="T37:V37"/>
    <mergeCell ref="O10:P10"/>
    <mergeCell ref="G10:H10"/>
  </mergeCells>
  <phoneticPr fontId="5" type="noConversion"/>
  <printOptions horizontalCentered="1"/>
  <pageMargins left="0.39370078740157483" right="0.39370078740157483" top="0.59055118110236227" bottom="0.98425196850393704" header="0.51181102362204722" footer="0.51181102362204722"/>
  <pageSetup paperSize="9" scale="65" fitToHeight="0" orientation="landscape" r:id="rId1"/>
  <headerFooter alignWithMargins="0"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00"/>
  <sheetViews>
    <sheetView view="pageBreakPreview" topLeftCell="A165" zoomScale="85" zoomScaleSheetLayoutView="85" workbookViewId="0">
      <selection activeCell="G184" sqref="G184"/>
    </sheetView>
  </sheetViews>
  <sheetFormatPr defaultColWidth="20.28515625" defaultRowHeight="19.5" x14ac:dyDescent="0.2"/>
  <cols>
    <col min="1" max="1" width="8.28515625" style="65" customWidth="1"/>
    <col min="2" max="2" width="19.28515625" style="65" customWidth="1"/>
    <col min="3" max="3" width="123.42578125" style="63" customWidth="1"/>
    <col min="4" max="4" width="8" style="68" bestFit="1" customWidth="1"/>
    <col min="5" max="5" width="20.85546875" style="66" bestFit="1" customWidth="1"/>
    <col min="6" max="6" width="18.7109375" style="66" customWidth="1"/>
    <col min="7" max="7" width="23.7109375" style="69" customWidth="1"/>
    <col min="8" max="8" width="22" style="63" bestFit="1" customWidth="1"/>
    <col min="9" max="16384" width="20.28515625" style="63"/>
  </cols>
  <sheetData>
    <row r="4" spans="1:8" ht="45" customHeight="1" thickBot="1" x14ac:dyDescent="0.25"/>
    <row r="5" spans="1:8" ht="20.25" thickBot="1" x14ac:dyDescent="0.25">
      <c r="A5" s="315" t="s">
        <v>188</v>
      </c>
      <c r="B5" s="316"/>
      <c r="C5" s="316"/>
      <c r="D5" s="316"/>
      <c r="E5" s="316"/>
      <c r="F5" s="316"/>
      <c r="G5" s="317"/>
    </row>
    <row r="6" spans="1:8" x14ac:dyDescent="0.2">
      <c r="A6" s="319" t="s">
        <v>454</v>
      </c>
      <c r="B6" s="320"/>
      <c r="C6" s="320"/>
      <c r="D6" s="82"/>
      <c r="E6" s="30"/>
      <c r="F6" s="312">
        <v>42826</v>
      </c>
      <c r="G6" s="313"/>
    </row>
    <row r="7" spans="1:8" x14ac:dyDescent="0.2">
      <c r="A7" s="314" t="s">
        <v>0</v>
      </c>
      <c r="B7" s="324" t="s">
        <v>9</v>
      </c>
      <c r="C7" s="327" t="s">
        <v>1</v>
      </c>
      <c r="D7" s="323" t="s">
        <v>189</v>
      </c>
      <c r="E7" s="326" t="s">
        <v>8</v>
      </c>
      <c r="F7" s="321" t="s">
        <v>213</v>
      </c>
      <c r="G7" s="318" t="s">
        <v>190</v>
      </c>
    </row>
    <row r="8" spans="1:8" x14ac:dyDescent="0.2">
      <c r="A8" s="314"/>
      <c r="B8" s="325"/>
      <c r="C8" s="327"/>
      <c r="D8" s="323"/>
      <c r="E8" s="326"/>
      <c r="F8" s="322"/>
      <c r="G8" s="318"/>
    </row>
    <row r="9" spans="1:8" s="64" customFormat="1" x14ac:dyDescent="0.2">
      <c r="A9" s="38" t="s">
        <v>191</v>
      </c>
      <c r="B9" s="39"/>
      <c r="C9" s="40" t="s">
        <v>97</v>
      </c>
      <c r="D9" s="41" t="s">
        <v>81</v>
      </c>
      <c r="E9" s="42"/>
      <c r="F9" s="212"/>
      <c r="G9" s="213">
        <f>ROUND(SUM(G10),2)</f>
        <v>327.04000000000002</v>
      </c>
      <c r="H9" s="284"/>
    </row>
    <row r="10" spans="1:8" ht="39" x14ac:dyDescent="0.2">
      <c r="A10" s="245" t="s">
        <v>2</v>
      </c>
      <c r="B10" s="31" t="str">
        <f>Memória!C13</f>
        <v>74007/003</v>
      </c>
      <c r="C10" s="32" t="str">
        <f>Memória!D13</f>
        <v>LOCACAO CONVENCIONAL DE OBRA, ATRAVÉS DE GABARITO DE TABUAS CORRIDAS PONTALETADAS, COM REAPROVEITAMENTO 3X</v>
      </c>
      <c r="D10" s="33" t="s">
        <v>10</v>
      </c>
      <c r="E10" s="34">
        <f>Memória!F13</f>
        <v>73</v>
      </c>
      <c r="F10" s="214">
        <v>4.4800000000000004</v>
      </c>
      <c r="G10" s="214">
        <f>ROUND(F10*E10,2)</f>
        <v>327.04000000000002</v>
      </c>
    </row>
    <row r="11" spans="1:8" s="64" customFormat="1" x14ac:dyDescent="0.2">
      <c r="A11" s="38" t="s">
        <v>192</v>
      </c>
      <c r="B11" s="39"/>
      <c r="C11" s="40" t="s">
        <v>80</v>
      </c>
      <c r="D11" s="41" t="s">
        <v>81</v>
      </c>
      <c r="E11" s="42"/>
      <c r="F11" s="212"/>
      <c r="G11" s="213">
        <f>ROUND(SUM(G12:G18),2)</f>
        <v>4620.0600000000004</v>
      </c>
    </row>
    <row r="12" spans="1:8" ht="66.75" customHeight="1" x14ac:dyDescent="0.2">
      <c r="A12" s="245" t="s">
        <v>98</v>
      </c>
      <c r="B12" s="31">
        <f>Memória!C23</f>
        <v>90091</v>
      </c>
      <c r="C12" s="32" t="str">
        <f>Memória!D23</f>
        <v>ESCAVAÇÃO MECANIZADA DE VALA COM PROF. ATÉ 1,5 M MÉDIA ENTRE MONTANTE E JUSANTE/UMA COMPOSIÇÃO POR TRECHO), COM ESCAVADEIRA HIDRÁULICA (0,8 M3/111 HP), LARG. DE 1,5 M A 2,5 M, EM SOLO DE 1A CATEGORIA, EM LOCAIS COM ALTO BAIXO DE INTERFERÊNCIA.</v>
      </c>
      <c r="D12" s="33" t="s">
        <v>58</v>
      </c>
      <c r="E12" s="34">
        <f>Memória!F68</f>
        <v>9.7324479440612439</v>
      </c>
      <c r="F12" s="214">
        <v>5</v>
      </c>
      <c r="G12" s="214">
        <f t="shared" ref="G12:G18" si="0">ROUND(F12*E12,2)</f>
        <v>48.66</v>
      </c>
    </row>
    <row r="13" spans="1:8" ht="78" x14ac:dyDescent="0.2">
      <c r="A13" s="245" t="s">
        <v>99</v>
      </c>
      <c r="B13" s="31">
        <f>Memória!C38</f>
        <v>90092</v>
      </c>
      <c r="C13" s="32" t="str">
        <f>Memória!D38</f>
        <v>ESCAVAÇÃO MECANIZADA DE VALA COM PROF. MAIOR QUE 1,5 M ATÉ 3,0 M (MÉDI A ENTRE MONTANTE E JUSANTE/UMA COMPOSIÇÃO POR TRECHO), COM ESCAVADEIRA HIDRÁULICA (0,8 M3/111 HP), LARG. DE 1,5 M A 2,5 M, EM SOLO DE 1A CAT EGORIA, EM LOCAIS COM BAIXO NÍVEL DE INTERFERÊNCIA.</v>
      </c>
      <c r="D13" s="33" t="s">
        <v>58</v>
      </c>
      <c r="E13" s="209">
        <f>Memória!F38</f>
        <v>18.380479999999995</v>
      </c>
      <c r="F13" s="246">
        <v>3.1</v>
      </c>
      <c r="G13" s="246">
        <f t="shared" si="0"/>
        <v>56.98</v>
      </c>
      <c r="H13" s="258"/>
    </row>
    <row r="14" spans="1:8" ht="51" customHeight="1" x14ac:dyDescent="0.2">
      <c r="A14" s="245" t="s">
        <v>177</v>
      </c>
      <c r="B14" s="31">
        <f>Memória!C56</f>
        <v>94097</v>
      </c>
      <c r="C14" s="32" t="str">
        <f>Memória!D56</f>
        <v>PREPARO DE FUNDO DE VALA COM LARGURA MENOR QUE 1,5 M, EM LOCAL COM NÍVEL BAIXO DE INTERFERÊNCIA.</v>
      </c>
      <c r="D14" s="33" t="s">
        <v>10</v>
      </c>
      <c r="E14" s="34">
        <f>Memória!F56</f>
        <v>5.120000000000001</v>
      </c>
      <c r="F14" s="214">
        <v>3.63</v>
      </c>
      <c r="G14" s="214">
        <f t="shared" si="0"/>
        <v>18.59</v>
      </c>
    </row>
    <row r="15" spans="1:8" ht="51" customHeight="1" x14ac:dyDescent="0.2">
      <c r="A15" s="245" t="s">
        <v>76</v>
      </c>
      <c r="B15" s="31">
        <f>Memória!C62</f>
        <v>94099</v>
      </c>
      <c r="C15" s="32" t="str">
        <f>Memória!D62</f>
        <v>PREPARO DE FUNDO DE VALA COM LARGURA MAIOR OU IGUAL A 1,5 M E MENOR QUE 2,5 M, EM LOCAL COM NÍVEL BAIXO DE INTERFERÊNCIA.</v>
      </c>
      <c r="D15" s="33" t="s">
        <v>10</v>
      </c>
      <c r="E15" s="34">
        <f>Memória!F62</f>
        <v>5.120000000000001</v>
      </c>
      <c r="F15" s="214">
        <v>1.8</v>
      </c>
      <c r="G15" s="214">
        <f t="shared" si="0"/>
        <v>9.2200000000000006</v>
      </c>
    </row>
    <row r="16" spans="1:8" s="243" customFormat="1" x14ac:dyDescent="0.2">
      <c r="A16" s="245" t="s">
        <v>231</v>
      </c>
      <c r="B16" s="240" t="str">
        <f>Memória!C68</f>
        <v>73964/006</v>
      </c>
      <c r="C16" s="208" t="str">
        <f>Memória!D68</f>
        <v>REATERRO DE VALA COM COMPACTAÇÃO MANUAL</v>
      </c>
      <c r="D16" s="223" t="s">
        <v>58</v>
      </c>
      <c r="E16" s="209">
        <f>Memória!F23</f>
        <v>35.899959999999993</v>
      </c>
      <c r="F16" s="246">
        <v>35.909999999999997</v>
      </c>
      <c r="G16" s="246">
        <f t="shared" si="0"/>
        <v>1289.17</v>
      </c>
    </row>
    <row r="17" spans="1:7" ht="23.25" customHeight="1" x14ac:dyDescent="0.2">
      <c r="A17" s="245" t="s">
        <v>559</v>
      </c>
      <c r="B17" s="31" t="str">
        <f>Memória!C81</f>
        <v>00071/ORSE</v>
      </c>
      <c r="C17" s="207" t="str">
        <f>Memória!D81</f>
        <v>ATERRO MANUAL DE ÁREAS, SEM AQUISIÇÃO DE MATERIAL, COM ESPALHAMENTO E COMPACATAÇÃO</v>
      </c>
      <c r="D17" s="33" t="s">
        <v>58</v>
      </c>
      <c r="E17" s="34">
        <f>Memória!F81</f>
        <v>27.366061249999998</v>
      </c>
      <c r="F17" s="214">
        <v>34.6</v>
      </c>
      <c r="G17" s="214">
        <f t="shared" si="0"/>
        <v>946.87</v>
      </c>
    </row>
    <row r="18" spans="1:7" ht="23.25" customHeight="1" x14ac:dyDescent="0.2">
      <c r="A18" s="273" t="s">
        <v>561</v>
      </c>
      <c r="B18" s="274" t="str">
        <f>Memória!C92</f>
        <v>00077/ORSE</v>
      </c>
      <c r="C18" s="275" t="str">
        <f>Memória!D92</f>
        <v>ATERRO MANUAL DE ÁREAS, SEM AQUISIÇÃO DE MATERIAL, COM ESPALHAMENTO E COMPACATAÇÃO</v>
      </c>
      <c r="D18" s="223" t="s">
        <v>58</v>
      </c>
      <c r="E18" s="276">
        <f>Memória!F92</f>
        <v>19.870865000000002</v>
      </c>
      <c r="F18" s="277">
        <v>113.26</v>
      </c>
      <c r="G18" s="278">
        <f t="shared" si="0"/>
        <v>2250.5700000000002</v>
      </c>
    </row>
    <row r="19" spans="1:7" s="64" customFormat="1" x14ac:dyDescent="0.2">
      <c r="A19" s="38" t="s">
        <v>193</v>
      </c>
      <c r="B19" s="39"/>
      <c r="C19" s="40" t="s">
        <v>82</v>
      </c>
      <c r="D19" s="41" t="s">
        <v>81</v>
      </c>
      <c r="E19" s="42"/>
      <c r="F19" s="213"/>
      <c r="G19" s="213">
        <f>ROUND(SUM(G20:G29),2)</f>
        <v>9153.9699999999993</v>
      </c>
    </row>
    <row r="20" spans="1:7" s="64" customFormat="1" x14ac:dyDescent="0.2">
      <c r="A20" s="245" t="s">
        <v>14</v>
      </c>
      <c r="B20" s="240" t="str">
        <f>Memória!C107</f>
        <v>74007/001</v>
      </c>
      <c r="C20" s="32" t="str">
        <f>Memória!D107</f>
        <v>FORMA TABUA P/ CONCRETO EM FUNDACAO E BALDRAME C/ REAPROVEITAMENTO 10X</v>
      </c>
      <c r="D20" s="223" t="s">
        <v>10</v>
      </c>
      <c r="E20" s="209">
        <f>Memória!F107</f>
        <v>39.581800000000001</v>
      </c>
      <c r="F20" s="246">
        <v>22.39</v>
      </c>
      <c r="G20" s="214">
        <f t="shared" ref="G20:G29" si="1">ROUND(F20*E20,2)</f>
        <v>886.24</v>
      </c>
    </row>
    <row r="21" spans="1:7" s="64" customFormat="1" ht="39" x14ac:dyDescent="0.2">
      <c r="A21" s="245" t="s">
        <v>73</v>
      </c>
      <c r="B21" s="240" t="str">
        <f>Memória!C137</f>
        <v>03171/ORSE</v>
      </c>
      <c r="C21" s="32" t="str">
        <f>Memória!D137</f>
        <v>FORMA PLANA P/VIGA, PILAR E PAREDE EM CHAPA RESINADA E= 10 MM - FUSTE (ALTURA VARIÁVEL)</v>
      </c>
      <c r="D21" s="223" t="s">
        <v>10</v>
      </c>
      <c r="E21" s="209">
        <f>Memória!F137</f>
        <v>4.32</v>
      </c>
      <c r="F21" s="246">
        <v>33.93</v>
      </c>
      <c r="G21" s="214">
        <f t="shared" si="1"/>
        <v>146.58000000000001</v>
      </c>
    </row>
    <row r="22" spans="1:7" ht="39" x14ac:dyDescent="0.2">
      <c r="A22" s="245" t="s">
        <v>178</v>
      </c>
      <c r="B22" s="31" t="str">
        <f>Memória!C150</f>
        <v>11486/ORSE</v>
      </c>
      <c r="C22" s="208" t="str">
        <f>Memória!D150</f>
        <v>CONCRETO SIMPLES USINADO, fck=30MPa, BOMBEADO, LANÇADO E ADENSADO NA INFRAESTRUTURA</v>
      </c>
      <c r="D22" s="223" t="s">
        <v>58</v>
      </c>
      <c r="E22" s="209">
        <f>Memória!F150</f>
        <v>10.296732055938755</v>
      </c>
      <c r="F22" s="214">
        <v>299.70999999999998</v>
      </c>
      <c r="G22" s="214">
        <f t="shared" si="1"/>
        <v>3086.03</v>
      </c>
    </row>
    <row r="23" spans="1:7" x14ac:dyDescent="0.2">
      <c r="A23" s="245" t="s">
        <v>74</v>
      </c>
      <c r="B23" s="31">
        <f>Memória!C181</f>
        <v>95241</v>
      </c>
      <c r="C23" s="32" t="str">
        <f>Memória!D181</f>
        <v>LASTRO DE CONCRETO, E = 5 CM, PREPARO MECÂNICO, INCLUSOS LANÇAMENTO E ADENSAMENTO</v>
      </c>
      <c r="D23" s="33" t="s">
        <v>10</v>
      </c>
      <c r="E23" s="34">
        <f>Memória!F181</f>
        <v>28.739999999999995</v>
      </c>
      <c r="F23" s="214">
        <v>16.72</v>
      </c>
      <c r="G23" s="214">
        <f t="shared" si="1"/>
        <v>480.53</v>
      </c>
    </row>
    <row r="24" spans="1:7" ht="58.5" x14ac:dyDescent="0.2">
      <c r="A24" s="245" t="s">
        <v>75</v>
      </c>
      <c r="B24" s="31">
        <f>Memória!C261</f>
        <v>92915</v>
      </c>
      <c r="C24" s="32" t="str">
        <f>Memória!D261</f>
        <v>ARMAÇÃO DE ESTRUTURAS DE CONCRETO ARMADO, EXCETO VIGAS, PILARES, LAJES E FUNDAÇÕES PROFUNDAS (DE EDIFÍCIOS DE MÚLTIPLOS PAVIMENTOS, EDIFICAÇÃO TÉRREA OU SOBRADO), UTILIZANDO AÇO CA-50 DE 5.0 MM - MONTAGEM.</v>
      </c>
      <c r="D24" s="34" t="s">
        <v>66</v>
      </c>
      <c r="E24" s="34">
        <f>Memória!F261</f>
        <v>53.776799999999987</v>
      </c>
      <c r="F24" s="214">
        <v>10.9</v>
      </c>
      <c r="G24" s="214">
        <f t="shared" si="1"/>
        <v>586.16999999999996</v>
      </c>
    </row>
    <row r="25" spans="1:7" ht="58.5" x14ac:dyDescent="0.2">
      <c r="A25" s="245" t="s">
        <v>319</v>
      </c>
      <c r="B25" s="31">
        <f>Memória!C267</f>
        <v>92916</v>
      </c>
      <c r="C25" s="32" t="str">
        <f>Memória!D267</f>
        <v>ARMAÇÃO DE ESTRUTURAS DE CONCRETO ARMADO, EXCETO VIGAS, PILARES, LAJES E FUNDAÇÕES PROFUNDAS (DE EDIFÍCIOS DE MÚLTIPLOS PAVIMENTOS, EDIFICAÇÃO TÉRREA OU SOBRADO), UTILIZANDO AÇO CA-50 DE 6.3 MM - MONTAGEM.</v>
      </c>
      <c r="D25" s="34" t="s">
        <v>66</v>
      </c>
      <c r="E25" s="34">
        <f>Memória!F267</f>
        <v>21.442399999999999</v>
      </c>
      <c r="F25" s="214">
        <v>10.06</v>
      </c>
      <c r="G25" s="214">
        <f t="shared" si="1"/>
        <v>215.71</v>
      </c>
    </row>
    <row r="26" spans="1:7" ht="58.5" x14ac:dyDescent="0.2">
      <c r="A26" s="245" t="s">
        <v>463</v>
      </c>
      <c r="B26" s="31">
        <f>Memória!C273</f>
        <v>92917</v>
      </c>
      <c r="C26" s="32" t="str">
        <f>Memória!D273</f>
        <v>ARMAÇÃO DE ESTRUTURAS DE CONCRETO ARMADO, EXCETO VIGAS, PILARES, LAJES E FUNDAÇÕES PROFUNDAS (DE EDIFÍCIOS DE MÚLTIPLOS PAVIMENTOS, EDIFICAÇÃO TÉRREA OU SOBRADO), UTILIZANDO AÇO CA-50 DE 8.0 MM - MONTAGEM.</v>
      </c>
      <c r="D26" s="34" t="s">
        <v>66</v>
      </c>
      <c r="E26" s="34">
        <f>Memória!F273</f>
        <v>39.934500000000007</v>
      </c>
      <c r="F26" s="214">
        <v>9.7799999999999994</v>
      </c>
      <c r="G26" s="214">
        <f t="shared" si="1"/>
        <v>390.56</v>
      </c>
    </row>
    <row r="27" spans="1:7" ht="58.5" x14ac:dyDescent="0.2">
      <c r="A27" s="245" t="s">
        <v>464</v>
      </c>
      <c r="B27" s="31">
        <f>Memória!C279</f>
        <v>92919</v>
      </c>
      <c r="C27" s="32" t="str">
        <f>Memória!D279</f>
        <v>ARMAÇÃO DE ESTRUTURAS DE CONCRETO ARMADO, EXCETO VIGAS, PILARES, LAJES E FUNDAÇÕES PROFUNDAS (DE EDIFÍCIOS DE MÚLTIPLOS PAVIMENTOS, EDIFICAÇÃO TÉRREA OU SOBRADO), UTILIZANDO AÇO CA-50 DE 10.0 MM - MONTAGEM.</v>
      </c>
      <c r="D27" s="34" t="s">
        <v>66</v>
      </c>
      <c r="E27" s="34">
        <f>Memória!F279</f>
        <v>92.494469999999993</v>
      </c>
      <c r="F27" s="214">
        <v>7.98</v>
      </c>
      <c r="G27" s="214">
        <f t="shared" si="1"/>
        <v>738.11</v>
      </c>
    </row>
    <row r="28" spans="1:7" ht="58.5" x14ac:dyDescent="0.2">
      <c r="A28" s="245" t="s">
        <v>467</v>
      </c>
      <c r="B28" s="31">
        <f>Memória!C285</f>
        <v>92921</v>
      </c>
      <c r="C28" s="32" t="str">
        <f>Memória!D285</f>
        <v>ARMAÇÃO DE ESTRUTURAS DE CONCRETO ARMADO, EXCETO VIGAS, PILARES, LAJES E FUNDAÇÕES PROFUNDAS (DE EDIFÍCIOS DE MÚLTIPLOS PAVIMENTOS, EDIFICAÇÃO TÉRREA OU SOBRADO), UTILIZANDO AÇO CA-50 DE 12.5 MM - MONTAGEM.</v>
      </c>
      <c r="D28" s="34" t="s">
        <v>66</v>
      </c>
      <c r="E28" s="34">
        <f>Memória!F285</f>
        <v>289.63187999999997</v>
      </c>
      <c r="F28" s="214">
        <v>6.73</v>
      </c>
      <c r="G28" s="214">
        <f t="shared" si="1"/>
        <v>1949.22</v>
      </c>
    </row>
    <row r="29" spans="1:7" ht="39" x14ac:dyDescent="0.2">
      <c r="A29" s="245" t="s">
        <v>468</v>
      </c>
      <c r="B29" s="240" t="str">
        <f>Memória!C291</f>
        <v>IFPB.CIVIL.04</v>
      </c>
      <c r="C29" s="208" t="str">
        <f>Memória!D291</f>
        <v>ALVENARIA EM TIJOLO CERAMICO 9X19X19CM, 1 VEZ, ASSENTADO COM ARGAMASSA TRACO 1:2:8 (CIMENTO, CAL E AREIA)</v>
      </c>
      <c r="D29" s="223" t="s">
        <v>10</v>
      </c>
      <c r="E29" s="209">
        <f>Memória!F291</f>
        <v>9.6499999999999986</v>
      </c>
      <c r="F29" s="246">
        <v>69.930000000000007</v>
      </c>
      <c r="G29" s="246">
        <f t="shared" si="1"/>
        <v>674.82</v>
      </c>
    </row>
    <row r="30" spans="1:7" s="64" customFormat="1" x14ac:dyDescent="0.2">
      <c r="A30" s="38" t="s">
        <v>194</v>
      </c>
      <c r="B30" s="39"/>
      <c r="C30" s="43" t="s">
        <v>83</v>
      </c>
      <c r="D30" s="44"/>
      <c r="E30" s="45"/>
      <c r="F30" s="212"/>
      <c r="G30" s="213">
        <f>ROUND(SUM(G31:G42),2)</f>
        <v>114687.53</v>
      </c>
    </row>
    <row r="31" spans="1:7" s="243" customFormat="1" ht="39" x14ac:dyDescent="0.2">
      <c r="A31" s="245" t="s">
        <v>15</v>
      </c>
      <c r="B31" s="240">
        <f>Memória!C308</f>
        <v>3365</v>
      </c>
      <c r="C31" s="208" t="str">
        <f>Memória!D308</f>
        <v>FORMA PLANA PARA ESTRUTURA EM COMPENSADO PLASTIFICADO 12MM 4 USOS, INCLUSIVE ESCORAMENTO</v>
      </c>
      <c r="D31" s="209" t="s">
        <v>10</v>
      </c>
      <c r="E31" s="248">
        <f>Memória!F308</f>
        <v>40.786100000000005</v>
      </c>
      <c r="F31" s="241">
        <v>45.61</v>
      </c>
      <c r="G31" s="242">
        <f t="shared" ref="G31:G42" si="2">ROUND(F31*E31,2)</f>
        <v>1860.25</v>
      </c>
    </row>
    <row r="32" spans="1:7" ht="39" x14ac:dyDescent="0.2">
      <c r="A32" s="245" t="s">
        <v>72</v>
      </c>
      <c r="B32" s="31">
        <f>Memória!C440</f>
        <v>92759</v>
      </c>
      <c r="C32" s="32" t="str">
        <f>Memória!D440</f>
        <v>ARMAÇÃO DE PILAR OU VIGA DE UMA ESTRUTURA CONVENCIONAL DE CONCRETO ARMADO EM UM EDIFÍCIO DE MÚLTIPLOS PAVIMENTOS UTILIZANDO AÇO CA-60 DE 5.0 MM - MONTAGEM.</v>
      </c>
      <c r="D32" s="34" t="s">
        <v>66</v>
      </c>
      <c r="E32" s="35">
        <f>Memória!F440</f>
        <v>58.9358</v>
      </c>
      <c r="F32" s="214">
        <v>10.050000000000001</v>
      </c>
      <c r="G32" s="242">
        <f t="shared" si="2"/>
        <v>592.29999999999995</v>
      </c>
    </row>
    <row r="33" spans="1:9" ht="39" x14ac:dyDescent="0.2">
      <c r="A33" s="245" t="s">
        <v>88</v>
      </c>
      <c r="B33" s="31">
        <f>Memória!C446</f>
        <v>92760</v>
      </c>
      <c r="C33" s="32" t="str">
        <f>Memória!D446</f>
        <v>ARMAÇÃO DE PILAR OU VIGA DE UMA ESTRUTURA CONVENCIONAL DE CONCRETO ARMADO EM UM EDIFÍCIO DE MÚLTIPLOS PAVIMENTOS UTILIZANDO AÇO CA-60 DE 6.3 MM - MONTAGEM.</v>
      </c>
      <c r="D33" s="34" t="s">
        <v>66</v>
      </c>
      <c r="E33" s="35">
        <f>Memória!F446</f>
        <v>0.36749999999999999</v>
      </c>
      <c r="F33" s="214">
        <v>9.4</v>
      </c>
      <c r="G33" s="242">
        <f t="shared" si="2"/>
        <v>3.45</v>
      </c>
    </row>
    <row r="34" spans="1:9" ht="39" x14ac:dyDescent="0.2">
      <c r="A34" s="245" t="s">
        <v>89</v>
      </c>
      <c r="B34" s="31">
        <f>Memória!C452</f>
        <v>92761</v>
      </c>
      <c r="C34" s="32" t="str">
        <f>Memória!D452</f>
        <v>ARMAÇÃO DE PILAR OU VIGA DE UMA ESTRUTURA CONVENCIONAL DE CONCRETO ARMADO EM UM EDIFÍCIO DE MÚLTIPLOS PAVIMENTOS UTILIZANDO AÇO CA-60 DE 8.0 MM - MONTAGEM.</v>
      </c>
      <c r="D34" s="34" t="s">
        <v>66</v>
      </c>
      <c r="E34" s="35">
        <f>Memória!F452</f>
        <v>5.0560000000000009</v>
      </c>
      <c r="F34" s="214">
        <v>9.2899999999999991</v>
      </c>
      <c r="G34" s="242">
        <f t="shared" si="2"/>
        <v>46.97</v>
      </c>
    </row>
    <row r="35" spans="1:9" ht="39" x14ac:dyDescent="0.2">
      <c r="A35" s="245" t="s">
        <v>104</v>
      </c>
      <c r="B35" s="31">
        <f>Memória!C458</f>
        <v>92762</v>
      </c>
      <c r="C35" s="32" t="str">
        <f>Memória!D458</f>
        <v>ARMAÇÃO DE PILAR OU VIGA DE UMA ESTRUTURA CONVENCIONAL DE CONCRETO ARMADO EM UM EDIFÍCIO DE MÚLTIPLOS PAVIMENTOS UTILIZANDO AÇO CA-60 DE 10.0 MM - MONTAGEM.</v>
      </c>
      <c r="D35" s="34" t="s">
        <v>66</v>
      </c>
      <c r="E35" s="35">
        <f>Memória!F458</f>
        <v>155.02742000000001</v>
      </c>
      <c r="F35" s="214">
        <v>7.62</v>
      </c>
      <c r="G35" s="242">
        <f t="shared" si="2"/>
        <v>1181.31</v>
      </c>
    </row>
    <row r="36" spans="1:9" ht="39" x14ac:dyDescent="0.2">
      <c r="A36" s="245" t="s">
        <v>105</v>
      </c>
      <c r="B36" s="31">
        <f>Memória!C478</f>
        <v>92769</v>
      </c>
      <c r="C36" s="32" t="str">
        <f>Memória!D478</f>
        <v>ARMAÇÃO DE LAJE DE UMA ESTRUTURA CONVENCIONAL DE CONCRETO ARMADO EM UM EDIFÍCIO DE MÚLTIPLOS PAVIMENTOS UTILIZANDO AÇO CA-50 DE 6.3 MM - MONTAGEM</v>
      </c>
      <c r="D36" s="34" t="s">
        <v>66</v>
      </c>
      <c r="E36" s="35">
        <f>Memória!F478</f>
        <v>44.504250000000006</v>
      </c>
      <c r="F36" s="214">
        <v>7.12</v>
      </c>
      <c r="G36" s="242">
        <f t="shared" si="2"/>
        <v>316.87</v>
      </c>
    </row>
    <row r="37" spans="1:9" ht="39" x14ac:dyDescent="0.2">
      <c r="A37" s="245" t="s">
        <v>106</v>
      </c>
      <c r="B37" s="31">
        <f>Memória!C484</f>
        <v>92770</v>
      </c>
      <c r="C37" s="32" t="str">
        <f>Memória!D484</f>
        <v>ARMAÇÃO DE LAJE DE UMA ESTRUTURA CONVENCIONAL DE CONCRETO ARMADO EM UM EDIFÍCIO DE MÚLTIPLOS PAVIMENTOS UTILIZANDO AÇO CA-50 DE 8.0 MM - MONTAGEM</v>
      </c>
      <c r="D37" s="34" t="s">
        <v>66</v>
      </c>
      <c r="E37" s="35">
        <f>Memória!F484</f>
        <v>24.173999999999999</v>
      </c>
      <c r="F37" s="214">
        <v>7.21</v>
      </c>
      <c r="G37" s="242">
        <f t="shared" si="2"/>
        <v>174.29</v>
      </c>
      <c r="H37" s="271"/>
    </row>
    <row r="38" spans="1:9" ht="39" x14ac:dyDescent="0.2">
      <c r="A38" s="245" t="s">
        <v>473</v>
      </c>
      <c r="B38" s="31" t="str">
        <f>Memória!C490</f>
        <v>03346/ORSE</v>
      </c>
      <c r="C38" s="32" t="str">
        <f>Memória!D490</f>
        <v>CONCRETO USINADO BOMBEADO FCK=30MPA PARA ESTRUTURAS, LANÇADO E ADENSADO INCLUSIVE CONTROLE TECNOLÓGICO</v>
      </c>
      <c r="D38" s="34" t="s">
        <v>58</v>
      </c>
      <c r="E38" s="35">
        <f>Memória!F490</f>
        <v>2.8890000000000002</v>
      </c>
      <c r="F38" s="214">
        <v>299.70999999999998</v>
      </c>
      <c r="G38" s="242">
        <f t="shared" si="2"/>
        <v>865.86</v>
      </c>
    </row>
    <row r="39" spans="1:9" ht="58.5" x14ac:dyDescent="0.2">
      <c r="A39" s="245" t="s">
        <v>474</v>
      </c>
      <c r="B39" s="31" t="str">
        <f>Memória!C528</f>
        <v>07393/ORSE</v>
      </c>
      <c r="C39" s="32" t="str">
        <f>Memória!D528</f>
        <v>LAJE PRÉ-FABRICADA TRELIÇADA PARA PISO OU COBERTURA, INTEREIXO 38CM, H=13CM, EL. ENCHIMENTO EM EPS H=8CM, INCLUSIVE ESCORAMENTO EM MADEIRA, CAPEAMENTO 4CM, ARMADURA NEGATIVA E ADICIONAL</v>
      </c>
      <c r="D39" s="34" t="s">
        <v>10</v>
      </c>
      <c r="E39" s="35">
        <f>Memória!F528</f>
        <v>23.82</v>
      </c>
      <c r="F39" s="214">
        <v>93.13</v>
      </c>
      <c r="G39" s="242">
        <f t="shared" si="2"/>
        <v>2218.36</v>
      </c>
    </row>
    <row r="40" spans="1:9" x14ac:dyDescent="0.2">
      <c r="A40" s="245" t="s">
        <v>475</v>
      </c>
      <c r="B40" s="240" t="str">
        <f>Memória!C536</f>
        <v>061458/SEDOP</v>
      </c>
      <c r="C40" s="208" t="str">
        <f>Memória!D536</f>
        <v>PAINEL EM ACM - ESTRUTURADO (FACHADAS)</v>
      </c>
      <c r="D40" s="209" t="s">
        <v>10</v>
      </c>
      <c r="E40" s="248">
        <f>Memória!F536</f>
        <v>136.04000000000002</v>
      </c>
      <c r="F40" s="241">
        <v>381.62</v>
      </c>
      <c r="G40" s="242">
        <f t="shared" si="2"/>
        <v>51915.58</v>
      </c>
    </row>
    <row r="41" spans="1:9" ht="39" x14ac:dyDescent="0.2">
      <c r="A41" s="245" t="s">
        <v>590</v>
      </c>
      <c r="B41" s="240" t="str">
        <f>Memória!C544</f>
        <v>04341/ORSE</v>
      </c>
      <c r="C41" s="208" t="str">
        <f>Memória!D544</f>
        <v>ESTRUTURA METÁLICA PARA COBERTURA MODULAR EM PERFIS, EM AÇO LAMINADO E DOBRADO, INCLUSIVE PILARES, VIGAS, TRELIÇAS E TERÇAS, E APLICAÇÃO DE PRIMER ANTICORROSIVO</v>
      </c>
      <c r="D41" s="223" t="s">
        <v>66</v>
      </c>
      <c r="E41" s="209">
        <f>Memória!F544</f>
        <v>5069.1922400000012</v>
      </c>
      <c r="F41" s="241">
        <v>10.89</v>
      </c>
      <c r="G41" s="242">
        <f t="shared" si="2"/>
        <v>55203.5</v>
      </c>
      <c r="I41" s="121"/>
    </row>
    <row r="42" spans="1:9" ht="39" x14ac:dyDescent="0.2">
      <c r="A42" s="245" t="s">
        <v>594</v>
      </c>
      <c r="B42" s="31" t="str">
        <f>Memória!C577</f>
        <v>06456/ORSE</v>
      </c>
      <c r="C42" s="32" t="str">
        <f>Memória!D577</f>
        <v>CONCRETO ARMADO FCK=21,0MPA, ADENSADO E LANÇADO, PARA VERGAS, CONTRA-VERGAS, PILARETES E CINTAS, COM FORMAS PLANAS EM COMPENSADO RESINADO 12MM (05 USOS)</v>
      </c>
      <c r="D42" s="33" t="s">
        <v>58</v>
      </c>
      <c r="E42" s="34">
        <f>Memória!F577</f>
        <v>0.24320000000000006</v>
      </c>
      <c r="F42" s="214">
        <v>1269.7</v>
      </c>
      <c r="G42" s="242">
        <f t="shared" si="2"/>
        <v>308.79000000000002</v>
      </c>
    </row>
    <row r="43" spans="1:9" s="71" customFormat="1" x14ac:dyDescent="0.2">
      <c r="A43" s="46" t="s">
        <v>195</v>
      </c>
      <c r="B43" s="47"/>
      <c r="C43" s="70" t="s">
        <v>3</v>
      </c>
      <c r="D43" s="48"/>
      <c r="E43" s="49"/>
      <c r="F43" s="231"/>
      <c r="G43" s="213">
        <f>ROUND(SUM(G44:G47),2)</f>
        <v>4503.47</v>
      </c>
    </row>
    <row r="44" spans="1:9" ht="39" x14ac:dyDescent="0.2">
      <c r="A44" s="245" t="s">
        <v>16</v>
      </c>
      <c r="B44" s="31">
        <f>Memória!C592</f>
        <v>89168</v>
      </c>
      <c r="C44" s="32" t="str">
        <f>Memória!D592</f>
        <v>ALVENARIA DE VEDAÇÃO DE BLOCOS VAZADOS DE CERÂMICA DE 9X19X19CM (ESPESSURA 9CM), PARA EDIFICAÇÃO PÚBLICA</v>
      </c>
      <c r="D44" s="33" t="s">
        <v>10</v>
      </c>
      <c r="E44" s="34">
        <f>Memória!F592</f>
        <v>38.100999999999999</v>
      </c>
      <c r="F44" s="214">
        <v>49.84</v>
      </c>
      <c r="G44" s="229">
        <f>ROUND(F44*E44,2)</f>
        <v>1898.95</v>
      </c>
    </row>
    <row r="45" spans="1:9" ht="39" x14ac:dyDescent="0.2">
      <c r="A45" s="245" t="s">
        <v>63</v>
      </c>
      <c r="B45" s="31">
        <f>Memória!C606</f>
        <v>93200</v>
      </c>
      <c r="C45" s="32" t="str">
        <f>Memória!D606</f>
        <v>FIXAÇÃO (ENCUNHAMENTO) DE ALVENARIA DE VEDAÇÃO COM ARGAMASSA EXPANSIVA APLICADA COM BISNAGA</v>
      </c>
      <c r="D45" s="33" t="s">
        <v>12</v>
      </c>
      <c r="E45" s="34">
        <f>Memória!F606</f>
        <v>18</v>
      </c>
      <c r="F45" s="214">
        <v>1.73</v>
      </c>
      <c r="G45" s="229">
        <f>ROUND(F45*E45,2)</f>
        <v>31.14</v>
      </c>
    </row>
    <row r="46" spans="1:9" ht="39" x14ac:dyDescent="0.2">
      <c r="A46" s="245" t="s">
        <v>107</v>
      </c>
      <c r="B46" s="240" t="str">
        <f>Memória!C619</f>
        <v>IFPB.CIVIL.06</v>
      </c>
      <c r="C46" s="32" t="str">
        <f>Memória!D619</f>
        <v>COBOGO DE CONCRETO (ELEMENTO VAZADO), 10X40X40CM, ASSENTADO COM ARGAMASSA TRACO 1:4 (CIMENTO E AREIA), VER PROJETO ARQUITETÔNICO</v>
      </c>
      <c r="D46" s="33" t="s">
        <v>10</v>
      </c>
      <c r="E46" s="34">
        <f>Memória!F619</f>
        <v>5.120000000000001</v>
      </c>
      <c r="F46" s="214">
        <v>90.3</v>
      </c>
      <c r="G46" s="229">
        <f>ROUND(F46*E46,2)</f>
        <v>462.34</v>
      </c>
    </row>
    <row r="47" spans="1:9" ht="58.5" x14ac:dyDescent="0.2">
      <c r="A47" s="245" t="s">
        <v>385</v>
      </c>
      <c r="B47" s="240" t="str">
        <f>Memória!C625</f>
        <v>02375/ORSE</v>
      </c>
      <c r="C47" s="208" t="str">
        <f>Memória!D625</f>
        <v>MURO EM ALVENARIA BLOCO CERÂMICO, E= 0,09M, C/ ALVENARIA DE PEDRA 0,35 x 0,60M, PILARES (9x20CM) A CADA 3,0M, CINTAS INFERIOR E SUPERIOR (9x15cm) EM CONCRETO ARMADO FCK=15,0 Mpa, COM CHAPISCO, REBOCO E PINTURA HIDRACOR OU SIMILAR</v>
      </c>
      <c r="D47" s="223" t="s">
        <v>10</v>
      </c>
      <c r="E47" s="209">
        <f>Memória!F625</f>
        <v>16</v>
      </c>
      <c r="F47" s="241">
        <v>131.94</v>
      </c>
      <c r="G47" s="242">
        <f>ROUND(F47*E47,2)</f>
        <v>2111.04</v>
      </c>
    </row>
    <row r="48" spans="1:9" s="71" customFormat="1" x14ac:dyDescent="0.2">
      <c r="A48" s="46" t="s">
        <v>196</v>
      </c>
      <c r="B48" s="47"/>
      <c r="C48" s="70" t="s">
        <v>59</v>
      </c>
      <c r="D48" s="48"/>
      <c r="E48" s="49"/>
      <c r="F48" s="231"/>
      <c r="G48" s="213">
        <f>ROUND(SUM(G49:G52),2)</f>
        <v>2624.07</v>
      </c>
    </row>
    <row r="49" spans="1:8" ht="39" x14ac:dyDescent="0.2">
      <c r="A49" s="245" t="s">
        <v>40</v>
      </c>
      <c r="B49" s="31">
        <f>Memória!C638</f>
        <v>7727</v>
      </c>
      <c r="C49" s="32" t="str">
        <f>Memória!D638</f>
        <v>IMPERMEABILIZAÇÃO DE SUPERFÍCIE C/ ARGAMASSA 1:4 (CIMENTO E AREIA) ESPESSURA 2CM C/ IMPERMEABILIZANTE VEDACIT OU SIMILAR</v>
      </c>
      <c r="D49" s="33" t="s">
        <v>10</v>
      </c>
      <c r="E49" s="34">
        <f>Memória!F638</f>
        <v>13.74</v>
      </c>
      <c r="F49" s="214">
        <v>18.8</v>
      </c>
      <c r="G49" s="229">
        <f>ROUND(F49*E49,2)</f>
        <v>258.31</v>
      </c>
    </row>
    <row r="50" spans="1:8" x14ac:dyDescent="0.2">
      <c r="A50" s="245" t="s">
        <v>51</v>
      </c>
      <c r="B50" s="31" t="str">
        <f>Memória!C645</f>
        <v>74106/001</v>
      </c>
      <c r="C50" s="32" t="str">
        <f>Memória!D645</f>
        <v>IMPERMEABILIZACAO DE ESTRUTURAS ENTERRADAS, COM TINTA ASFALTICA, DUAS DEMÃOS</v>
      </c>
      <c r="D50" s="33" t="s">
        <v>10</v>
      </c>
      <c r="E50" s="34">
        <f>Memória!F645</f>
        <v>15.959999999999996</v>
      </c>
      <c r="F50" s="214">
        <v>7.72</v>
      </c>
      <c r="G50" s="229">
        <f>ROUND(F50*E50,2)</f>
        <v>123.21</v>
      </c>
    </row>
    <row r="51" spans="1:8" s="243" customFormat="1" ht="39" customHeight="1" x14ac:dyDescent="0.2">
      <c r="A51" s="245" t="s">
        <v>248</v>
      </c>
      <c r="B51" s="240">
        <f>Memória!C661</f>
        <v>83737</v>
      </c>
      <c r="C51" s="208" t="str">
        <f>Memória!D661</f>
        <v>IMPERMEABILIZAÇÃO COM MANTA ASFÁLTICA (COM POLÍMEROS TIPO APP) ESPESSURA 3MM</v>
      </c>
      <c r="D51" s="223" t="s">
        <v>10</v>
      </c>
      <c r="E51" s="209">
        <f>Memória!F661</f>
        <v>27.206800000000001</v>
      </c>
      <c r="F51" s="241">
        <v>66.349999999999994</v>
      </c>
      <c r="G51" s="242">
        <f>ROUND(F51*E51,2)</f>
        <v>1805.17</v>
      </c>
    </row>
    <row r="52" spans="1:8" s="243" customFormat="1" ht="39" customHeight="1" x14ac:dyDescent="0.2">
      <c r="A52" s="245" t="s">
        <v>622</v>
      </c>
      <c r="B52" s="240" t="str">
        <f>Memória!C670</f>
        <v>01968/ORSE</v>
      </c>
      <c r="C52" s="208" t="str">
        <f>Memória!D670</f>
        <v>IMPERMEABILIZAÇÃO - PROTEÇÃO MECÂNICA DE SUPERFÍCIE COM ARGAMASSA CIMENTO E AREIA TRAÇO 1:3</v>
      </c>
      <c r="D52" s="223" t="s">
        <v>58</v>
      </c>
      <c r="E52" s="209">
        <f>Memória!F670</f>
        <v>0.81620400000000004</v>
      </c>
      <c r="F52" s="241">
        <v>535.87</v>
      </c>
      <c r="G52" s="242">
        <f>ROUND(F52*E52,2)</f>
        <v>437.38</v>
      </c>
    </row>
    <row r="53" spans="1:8" s="71" customFormat="1" x14ac:dyDescent="0.2">
      <c r="A53" s="46" t="s">
        <v>197</v>
      </c>
      <c r="B53" s="47"/>
      <c r="C53" s="70" t="s">
        <v>65</v>
      </c>
      <c r="D53" s="50"/>
      <c r="E53" s="49"/>
      <c r="F53" s="231"/>
      <c r="G53" s="213">
        <f>ROUND(SUM(G54:G55),2)</f>
        <v>18092.099999999999</v>
      </c>
    </row>
    <row r="54" spans="1:8" s="243" customFormat="1" ht="39" x14ac:dyDescent="0.2">
      <c r="A54" s="279" t="s">
        <v>17</v>
      </c>
      <c r="B54" s="240" t="str">
        <f>Memória!C683</f>
        <v>SUPLAN 6719 + INCC</v>
      </c>
      <c r="C54" s="208" t="str">
        <f>Memória!D683</f>
        <v>COBERTURA EM CHAPA DE POLICARBONATO VERDE 6MM, CONFORME PROJETO ARQUITETÔNICO</v>
      </c>
      <c r="D54" s="223" t="s">
        <v>10</v>
      </c>
      <c r="E54" s="209">
        <f>Memória!F683</f>
        <v>150</v>
      </c>
      <c r="F54" s="241">
        <v>117.26</v>
      </c>
      <c r="G54" s="242">
        <f>ROUND(F54*E54,2)</f>
        <v>17589</v>
      </c>
    </row>
    <row r="55" spans="1:8" x14ac:dyDescent="0.2">
      <c r="A55" s="279" t="s">
        <v>96</v>
      </c>
      <c r="B55" s="240">
        <f>Memória!C689</f>
        <v>94227</v>
      </c>
      <c r="C55" s="208" t="str">
        <f>Memória!D689</f>
        <v>CALHA EM CHAPA DE AÇO GALVANIZADO, CONFORME PROJETO ARQUITETÔNICO</v>
      </c>
      <c r="D55" s="223" t="s">
        <v>12</v>
      </c>
      <c r="E55" s="209">
        <f>Memória!F689</f>
        <v>15</v>
      </c>
      <c r="F55" s="241">
        <v>33.54</v>
      </c>
      <c r="G55" s="242">
        <f>ROUND(F55*E55,2)</f>
        <v>503.1</v>
      </c>
    </row>
    <row r="56" spans="1:8" s="71" customFormat="1" x14ac:dyDescent="0.2">
      <c r="A56" s="72" t="s">
        <v>198</v>
      </c>
      <c r="B56" s="70"/>
      <c r="C56" s="70" t="s">
        <v>42</v>
      </c>
      <c r="D56" s="48"/>
      <c r="E56" s="49"/>
      <c r="F56" s="231"/>
      <c r="G56" s="213">
        <f>ROUND(SUM(G57:G60),2)</f>
        <v>14768.13</v>
      </c>
    </row>
    <row r="57" spans="1:8" ht="38.25" customHeight="1" x14ac:dyDescent="0.4">
      <c r="A57" s="245" t="s">
        <v>18</v>
      </c>
      <c r="B57" s="240">
        <f>Memória!C699</f>
        <v>94569</v>
      </c>
      <c r="C57" s="208" t="str">
        <f>Memória!D699</f>
        <v>JANELA TIPO MAXIM-AR ALUMINIO (CONF. DET. ARQUITETURA)</v>
      </c>
      <c r="D57" s="247" t="s">
        <v>10</v>
      </c>
      <c r="E57" s="209">
        <f>Memória!F699</f>
        <v>6.5000000000000009</v>
      </c>
      <c r="F57" s="246">
        <v>540.23</v>
      </c>
      <c r="G57" s="242">
        <f>ROUND(F57*E57,2)</f>
        <v>3511.5</v>
      </c>
      <c r="H57" s="89"/>
    </row>
    <row r="58" spans="1:8" ht="21" x14ac:dyDescent="0.4">
      <c r="A58" s="245" t="s">
        <v>108</v>
      </c>
      <c r="B58" s="240">
        <v>94570</v>
      </c>
      <c r="C58" s="208" t="str">
        <f>Memória!D706</f>
        <v>JANELA TIPO CORRER ALUMÍNIO (CONF. DET. ARQUITETURA)</v>
      </c>
      <c r="D58" s="247" t="s">
        <v>10</v>
      </c>
      <c r="E58" s="209">
        <f>Memória!F706</f>
        <v>3.36</v>
      </c>
      <c r="F58" s="246">
        <v>503.52</v>
      </c>
      <c r="G58" s="242">
        <f>ROUND(F58*E58,2)</f>
        <v>1691.83</v>
      </c>
      <c r="H58" s="89"/>
    </row>
    <row r="59" spans="1:8" s="238" customFormat="1" ht="39" x14ac:dyDescent="0.4">
      <c r="A59" s="245" t="s">
        <v>109</v>
      </c>
      <c r="B59" s="240" t="str">
        <f>Memória!C712</f>
        <v>C3659/SEINF</v>
      </c>
      <c r="C59" s="208" t="str">
        <f>Memória!D712</f>
        <v>PORTÃO DE METALON EM BARRA CHATA DE FERRO COM FECHADURA E DOBRADIÇA, INCLUSO PINTURA E ESMALTE SINTÉTICO ( CONFORME PROJET. ARQUITETONICO)</v>
      </c>
      <c r="D59" s="247" t="s">
        <v>10</v>
      </c>
      <c r="E59" s="209">
        <f>Memória!F712</f>
        <v>23.68</v>
      </c>
      <c r="F59" s="246">
        <v>310.98</v>
      </c>
      <c r="G59" s="242">
        <f>ROUND(F59*E59,2)</f>
        <v>7364.01</v>
      </c>
      <c r="H59" s="239"/>
    </row>
    <row r="60" spans="1:8" ht="39" x14ac:dyDescent="0.4">
      <c r="A60" s="245" t="s">
        <v>186</v>
      </c>
      <c r="B60" s="240" t="str">
        <f>Memória!C720</f>
        <v>01871/ORSE</v>
      </c>
      <c r="C60" s="208" t="str">
        <f>Memória!D720</f>
        <v>GRADIL DE FERRO 1/2"x1/2" E SPAÇAMENTO 10cm MONTANTES DE TUDOS DE AÇO GALV. ø 2" ESPAÇAMENTO DE 3 CM INCLUSIVE ASSENTAMENTO</v>
      </c>
      <c r="D60" s="280" t="s">
        <v>10</v>
      </c>
      <c r="E60" s="209">
        <f>Memória!F720</f>
        <v>8.4688000000000017</v>
      </c>
      <c r="F60" s="246">
        <v>259.87</v>
      </c>
      <c r="G60" s="242">
        <f>ROUND(F60*E60,2)</f>
        <v>2200.79</v>
      </c>
      <c r="H60" s="89"/>
    </row>
    <row r="61" spans="1:8" s="71" customFormat="1" x14ac:dyDescent="0.2">
      <c r="A61" s="72" t="s">
        <v>199</v>
      </c>
      <c r="B61" s="70"/>
      <c r="C61" s="70" t="s">
        <v>43</v>
      </c>
      <c r="D61" s="48"/>
      <c r="E61" s="49"/>
      <c r="F61" s="231"/>
      <c r="G61" s="213">
        <f>ROUND(SUM(G62:G62),2)</f>
        <v>826.94</v>
      </c>
    </row>
    <row r="62" spans="1:8" s="238" customFormat="1" ht="78" x14ac:dyDescent="0.4">
      <c r="A62" s="245" t="s">
        <v>19</v>
      </c>
      <c r="B62" s="240" t="str">
        <f>Memória!C731</f>
        <v>COTAÇÃO</v>
      </c>
      <c r="C62" s="208" t="str">
        <f>Memória!D731</f>
        <v>PORTA (0,60 X 2,10) DE ABRIR COM 1 FOLHA MÓVEL EM MADEIRA LAMINADA, COM NÚCLEO SÓLIDO, REVESTIMENTO RESISTENTE A IMPACTO NA PARTE INFERIOR, INCLUSIVE CAIXILHO, FECHADURA COM MAÇANETA TIPO ALAVANCA EM INOX ,DOBRADIÇAS E ALISAR DO MESMO MATERIAL - CONFORME PROJETO ARQUITETÔNICO</v>
      </c>
      <c r="D62" s="280" t="s">
        <v>11</v>
      </c>
      <c r="E62" s="209">
        <f>Memória!F731</f>
        <v>1</v>
      </c>
      <c r="F62" s="241">
        <v>826.94</v>
      </c>
      <c r="G62" s="242">
        <f>ROUND(F62*E62,2)</f>
        <v>826.94</v>
      </c>
      <c r="H62" s="239"/>
    </row>
    <row r="63" spans="1:8" s="71" customFormat="1" x14ac:dyDescent="0.2">
      <c r="A63" s="51" t="s">
        <v>200</v>
      </c>
      <c r="B63" s="52"/>
      <c r="C63" s="73" t="s">
        <v>6</v>
      </c>
      <c r="D63" s="53"/>
      <c r="E63" s="49"/>
      <c r="F63" s="231"/>
      <c r="G63" s="213">
        <f>ROUND(SUM(G64:G66),2)</f>
        <v>2752.73</v>
      </c>
    </row>
    <row r="64" spans="1:8" ht="39" x14ac:dyDescent="0.2">
      <c r="A64" s="245" t="s">
        <v>110</v>
      </c>
      <c r="B64" s="240" t="str">
        <f>Memória!C741</f>
        <v>73838/001</v>
      </c>
      <c r="C64" s="208" t="str">
        <f>Memória!D741</f>
        <v>PORTA EM VIDRO TEMPERADO, 0,9x2,10M, 10MM INCOLOR COM BANDEIRA FIXA DE UMA FOLHA, INCLUSIVE MOLA HIDRÚLICA</v>
      </c>
      <c r="D64" s="223" t="s">
        <v>11</v>
      </c>
      <c r="E64" s="270">
        <v>1</v>
      </c>
      <c r="F64" s="241">
        <v>1732.27</v>
      </c>
      <c r="G64" s="242">
        <f>ROUND(F64*E64,2)</f>
        <v>1732.27</v>
      </c>
    </row>
    <row r="65" spans="1:7" ht="39" x14ac:dyDescent="0.2">
      <c r="A65" s="245" t="s">
        <v>87</v>
      </c>
      <c r="B65" s="31" t="str">
        <f>Memória!C747</f>
        <v>74125/002</v>
      </c>
      <c r="C65" s="32" t="str">
        <f>Memória!D747</f>
        <v>ESPELHO CRISTAL ESPESSURA 4MM, COM MOLDURA EM ALUMINIO E COMPENSADO 6MM PLASTIFICADO COLADO</v>
      </c>
      <c r="D65" s="33" t="s">
        <v>10</v>
      </c>
      <c r="E65" s="37">
        <f>Memória!F747</f>
        <v>0.8</v>
      </c>
      <c r="F65" s="230">
        <v>311.23</v>
      </c>
      <c r="G65" s="229">
        <f>ROUND(F65*E65,2)</f>
        <v>248.98</v>
      </c>
    </row>
    <row r="66" spans="1:7" x14ac:dyDescent="0.2">
      <c r="A66" s="245" t="s">
        <v>406</v>
      </c>
      <c r="B66" s="31" t="str">
        <f>Memória!C753</f>
        <v>00034389/INS</v>
      </c>
      <c r="C66" s="32" t="str">
        <f>Memória!D753</f>
        <v>VIDRO CRISTAL e= 4mm - COM PELÍCULA NA COR VERDE CONFORME PROJETO</v>
      </c>
      <c r="D66" s="33" t="s">
        <v>10</v>
      </c>
      <c r="E66" s="37">
        <f>Memória!F753</f>
        <v>9.92</v>
      </c>
      <c r="F66" s="230">
        <v>77.77</v>
      </c>
      <c r="G66" s="229">
        <f>ROUND(F66*E66,2)</f>
        <v>771.48</v>
      </c>
    </row>
    <row r="67" spans="1:7" s="71" customFormat="1" x14ac:dyDescent="0.2">
      <c r="A67" s="54" t="s">
        <v>201</v>
      </c>
      <c r="B67" s="55"/>
      <c r="C67" s="56" t="s">
        <v>44</v>
      </c>
      <c r="D67" s="57"/>
      <c r="E67" s="49"/>
      <c r="F67" s="232"/>
      <c r="G67" s="233">
        <f>ROUND(SUM(G68:G69),2)</f>
        <v>643.4</v>
      </c>
    </row>
    <row r="68" spans="1:7" x14ac:dyDescent="0.2">
      <c r="A68" s="279" t="s">
        <v>52</v>
      </c>
      <c r="B68" s="31" t="str">
        <f>Memória!C766</f>
        <v>73986/001</v>
      </c>
      <c r="C68" s="32" t="str">
        <f>Memória!D766</f>
        <v xml:space="preserve">FORRO DE GESSO LISO, INCLUSIVE  FIXAÇÃO DE FIO DE COBRE </v>
      </c>
      <c r="D68" s="33" t="s">
        <v>10</v>
      </c>
      <c r="E68" s="34">
        <f>Memória!F766</f>
        <v>22.884999999999998</v>
      </c>
      <c r="F68" s="230">
        <v>22.53</v>
      </c>
      <c r="G68" s="229">
        <f>ROUND(F68*E68,2)</f>
        <v>515.6</v>
      </c>
    </row>
    <row r="69" spans="1:7" x14ac:dyDescent="0.2">
      <c r="A69" s="279" t="s">
        <v>111</v>
      </c>
      <c r="B69" s="31" t="str">
        <f>Memória!C775</f>
        <v>01951/ORSE</v>
      </c>
      <c r="C69" s="32" t="str">
        <f>Memória!D775</f>
        <v>SANCA OU CIMALHA EM GESSO L=6CM</v>
      </c>
      <c r="D69" s="33" t="s">
        <v>12</v>
      </c>
      <c r="E69" s="90">
        <f>Memória!F775</f>
        <v>21.3</v>
      </c>
      <c r="F69" s="230">
        <v>6</v>
      </c>
      <c r="G69" s="229">
        <f>ROUND(F69*E69,2)</f>
        <v>127.8</v>
      </c>
    </row>
    <row r="70" spans="1:7" s="71" customFormat="1" x14ac:dyDescent="0.2">
      <c r="A70" s="54" t="s">
        <v>202</v>
      </c>
      <c r="B70" s="55"/>
      <c r="C70" s="70" t="s">
        <v>13</v>
      </c>
      <c r="D70" s="48"/>
      <c r="E70" s="49"/>
      <c r="F70" s="231"/>
      <c r="G70" s="233">
        <f>ROUND(SUM(G71:G76),2)</f>
        <v>11712.34</v>
      </c>
    </row>
    <row r="71" spans="1:7" ht="39" x14ac:dyDescent="0.2">
      <c r="A71" s="272" t="s">
        <v>20</v>
      </c>
      <c r="B71" s="31">
        <f>Memória!C787</f>
        <v>87874</v>
      </c>
      <c r="C71" s="32" t="str">
        <f>Memória!D787</f>
        <v>CHAPISCO APLICADO EM ALVENARIAS E ESTRUTURAS DE CONCRETO INTERNAS, COM COLHER DE PEDREIRO. ARGAMASSA TRAÇO 1:3 COM PREPARO EM BETONEIRA 400 l</v>
      </c>
      <c r="D71" s="33" t="s">
        <v>10</v>
      </c>
      <c r="E71" s="34">
        <f>Memória!F787</f>
        <v>181.77940000000001</v>
      </c>
      <c r="F71" s="230">
        <v>2.29</v>
      </c>
      <c r="G71" s="229">
        <f t="shared" ref="G71:G76" si="3">ROUND(F71*E71,2)</f>
        <v>416.27</v>
      </c>
    </row>
    <row r="72" spans="1:7" s="243" customFormat="1" ht="39" x14ac:dyDescent="0.2">
      <c r="A72" s="272" t="s">
        <v>38</v>
      </c>
      <c r="B72" s="240">
        <f>Memória!C824</f>
        <v>87882</v>
      </c>
      <c r="C72" s="208" t="str">
        <f>Memória!D824</f>
        <v>CHAPISCO APLICADO NO TETO, COM ROLO PARA TEXTURA ACRÍLICA. ARGAMASSA TRAÇO 1:4 E EMULSÃO POLIMÉRICA (ADESIVO) COM PREPARO EM BETONEIRA 400L</v>
      </c>
      <c r="D72" s="223" t="s">
        <v>10</v>
      </c>
      <c r="E72" s="209">
        <f>Memória!F824</f>
        <v>23.814325</v>
      </c>
      <c r="F72" s="241">
        <v>3.55</v>
      </c>
      <c r="G72" s="242">
        <f t="shared" si="3"/>
        <v>84.54</v>
      </c>
    </row>
    <row r="73" spans="1:7" ht="58.5" x14ac:dyDescent="0.2">
      <c r="A73" s="272" t="s">
        <v>116</v>
      </c>
      <c r="B73" s="31">
        <f>Memória!C833</f>
        <v>87529</v>
      </c>
      <c r="C73" s="32" t="str">
        <f>Memória!D833</f>
        <v>MASSA ÚNICA, PARA RECEBIMENTO DE PINTURA, EM ARGAMASSA TRAÇO 1:2:8, PREPARO MECÂNICO COM BETONEIRA 400L, APLICADA MANUALMENTE EM FACES INTERNAS DE PAREDES, ESPESSURA DE 20MM, COM EXECUÇÃO DE TALISCAS.</v>
      </c>
      <c r="D73" s="33" t="s">
        <v>10</v>
      </c>
      <c r="E73" s="34">
        <f>Memória!F833</f>
        <v>46.449400000000004</v>
      </c>
      <c r="F73" s="230">
        <v>20.25</v>
      </c>
      <c r="G73" s="229">
        <f t="shared" si="3"/>
        <v>940.6</v>
      </c>
    </row>
    <row r="74" spans="1:7" s="238" customFormat="1" ht="58.5" x14ac:dyDescent="0.2">
      <c r="A74" s="272" t="s">
        <v>117</v>
      </c>
      <c r="B74" s="240">
        <f>Memória!C848</f>
        <v>90408</v>
      </c>
      <c r="C74" s="208" t="str">
        <f>Memória!D848</f>
        <v>MASSA ÚNICA, PARA RECEBIMENTO DE PINTURA, EM ARGAMASSA TRAÇO 1:2:8, PREPARO MECÂNICO COM BETONEIRA 400L, APLICADA MANUALMENTE EM TETO, ESPESSURA DE 10MM, COM EXECUÇÃO DE TALISCAS.</v>
      </c>
      <c r="D74" s="223" t="s">
        <v>10</v>
      </c>
      <c r="E74" s="209">
        <f>Memória!F848</f>
        <v>155.07232500000001</v>
      </c>
      <c r="F74" s="241">
        <v>19.149999999999999</v>
      </c>
      <c r="G74" s="242">
        <f t="shared" si="3"/>
        <v>2969.64</v>
      </c>
    </row>
    <row r="75" spans="1:7" s="243" customFormat="1" ht="39" x14ac:dyDescent="0.2">
      <c r="A75" s="272" t="s">
        <v>118</v>
      </c>
      <c r="B75" s="240" t="str">
        <f>Memória!C880</f>
        <v>04440/ORSE</v>
      </c>
      <c r="C75" s="208" t="str">
        <f>Memória!D880</f>
        <v>REVESTIMENTO CERÂMICO COM PAREDE 10x10 CM,  (CONFORME DET. PROJ. ARQUITETURA), APLICADO COM ARGAMASSINC.REJUNTE FLEXÍVEL</v>
      </c>
      <c r="D75" s="223" t="s">
        <v>10</v>
      </c>
      <c r="E75" s="209">
        <f>Memória!F880</f>
        <v>131.25800000000001</v>
      </c>
      <c r="F75" s="241">
        <v>51.13</v>
      </c>
      <c r="G75" s="242">
        <f t="shared" si="3"/>
        <v>6711.22</v>
      </c>
    </row>
    <row r="76" spans="1:7" ht="58.5" x14ac:dyDescent="0.2">
      <c r="A76" s="272" t="s">
        <v>119</v>
      </c>
      <c r="B76" s="31" t="str">
        <f>Memória!C906</f>
        <v>07593/ORSE</v>
      </c>
      <c r="C76" s="32" t="str">
        <f>Memória!D906</f>
        <v>REVESTIMENTO CERÂMICO PARA PISO OU PAREDE, 20 x 20 CM, ELIZABETH OU SIMILAR, LINHA CRISTAL BRANCO, APLICADO C/ARGAMASSA INDUSTRIALIZADA AD-II, REJUNTADO, EXCLUSIVE REGULARIZAÇÃO DE BASE OU EMBOÇO</v>
      </c>
      <c r="D76" s="33" t="s">
        <v>10</v>
      </c>
      <c r="E76" s="34">
        <f>Memória!F906</f>
        <v>15.129999999999999</v>
      </c>
      <c r="F76" s="230">
        <v>39</v>
      </c>
      <c r="G76" s="229">
        <f t="shared" si="3"/>
        <v>590.07000000000005</v>
      </c>
    </row>
    <row r="77" spans="1:7" s="71" customFormat="1" x14ac:dyDescent="0.2">
      <c r="A77" s="46" t="s">
        <v>203</v>
      </c>
      <c r="B77" s="47"/>
      <c r="C77" s="70" t="s">
        <v>4</v>
      </c>
      <c r="D77" s="48"/>
      <c r="E77" s="49"/>
      <c r="F77" s="231"/>
      <c r="G77" s="213">
        <f>ROUND(SUM(G78:G86),2)</f>
        <v>5203.71</v>
      </c>
    </row>
    <row r="78" spans="1:7" x14ac:dyDescent="0.2">
      <c r="A78" s="281" t="s">
        <v>53</v>
      </c>
      <c r="B78" s="31" t="str">
        <f>Memória!C920</f>
        <v>IFPB.CIVIL.09</v>
      </c>
      <c r="C78" s="74" t="str">
        <f>Memória!D920</f>
        <v>LASTRO DE CONCRETO, E = 7 CM, PREPARO MECÂNICO, INCLUSOS LANÇAMENTO E ADENSAMENTO.</v>
      </c>
      <c r="D78" s="33" t="s">
        <v>58</v>
      </c>
      <c r="E78" s="34">
        <f>Memória!F920</f>
        <v>0.43799999999999994</v>
      </c>
      <c r="F78" s="230">
        <v>430.23</v>
      </c>
      <c r="G78" s="229">
        <f t="shared" ref="G78:G86" si="4">ROUND(F78*E78,2)</f>
        <v>188.44</v>
      </c>
    </row>
    <row r="79" spans="1:7" s="238" customFormat="1" ht="39" x14ac:dyDescent="0.2">
      <c r="A79" s="281" t="s">
        <v>70</v>
      </c>
      <c r="B79" s="240">
        <f>Memória!C927</f>
        <v>87630</v>
      </c>
      <c r="C79" s="208" t="str">
        <f>Memória!D927</f>
        <v>CONTRAPISO EM ARGAMASSA TRAÇO 1:4 (CIMENTO E AREIA), PREPARO MECÂNICO COM BETONEIRA 400 L, APLICADO EM ÁREAS SECAS SOBRE LAJE, ADERIDO, ESPESSURA 3CM.</v>
      </c>
      <c r="D79" s="223" t="s">
        <v>10</v>
      </c>
      <c r="E79" s="209">
        <f>Memória!F927</f>
        <v>14.549999999999999</v>
      </c>
      <c r="F79" s="241">
        <v>25.38</v>
      </c>
      <c r="G79" s="242">
        <f t="shared" si="4"/>
        <v>369.28</v>
      </c>
    </row>
    <row r="80" spans="1:7" s="238" customFormat="1" ht="39" x14ac:dyDescent="0.2">
      <c r="A80" s="281" t="s">
        <v>71</v>
      </c>
      <c r="B80" s="240" t="str">
        <f>Memória!C934</f>
        <v>4786/INS</v>
      </c>
      <c r="C80" s="208" t="str">
        <f>Memória!D934</f>
        <v>PISO EM GRANILITE, MARMORITE OU GRANITINA, AGREGADO COR PRETO, CINZA, PALHA OU BRANCO, E= 8 MM (INCLUSO EXECUCAO)</v>
      </c>
      <c r="D80" s="33" t="s">
        <v>10</v>
      </c>
      <c r="E80" s="209">
        <v>14.55</v>
      </c>
      <c r="F80" s="241">
        <v>80</v>
      </c>
      <c r="G80" s="242">
        <f t="shared" si="4"/>
        <v>1164</v>
      </c>
    </row>
    <row r="81" spans="1:7" x14ac:dyDescent="0.2">
      <c r="A81" s="281" t="s">
        <v>84</v>
      </c>
      <c r="B81" s="31" t="str">
        <f>Memória!C941</f>
        <v>3671/INS</v>
      </c>
      <c r="C81" s="32" t="str">
        <f>Memória!D941</f>
        <v>JUNTA PLASTICA DE DILATACAO PARA PISOS, COR CINZA, 17 X 3 MM (ALTURA X ESPESSURA)</v>
      </c>
      <c r="D81" s="33" t="s">
        <v>12</v>
      </c>
      <c r="E81" s="34">
        <f>Memória!F941</f>
        <v>14.549999999999999</v>
      </c>
      <c r="F81" s="230">
        <v>0.85</v>
      </c>
      <c r="G81" s="229">
        <f t="shared" si="4"/>
        <v>12.37</v>
      </c>
    </row>
    <row r="82" spans="1:7" ht="39" x14ac:dyDescent="0.2">
      <c r="A82" s="281" t="s">
        <v>85</v>
      </c>
      <c r="B82" s="31">
        <f>Memória!C948</f>
        <v>92396</v>
      </c>
      <c r="C82" s="32" t="str">
        <f>Memória!D948</f>
        <v>EXECUÇÃO DE PASSEIO EM PISO INTERTRAVADO, COM BLOCO RETANGULAR COR NATURAL DE 20 X 10 CM, ESPESSURA 6 CM.</v>
      </c>
      <c r="D82" s="33" t="s">
        <v>10</v>
      </c>
      <c r="E82" s="34">
        <f>Memória!F948</f>
        <v>43.5</v>
      </c>
      <c r="F82" s="230">
        <v>53.39</v>
      </c>
      <c r="G82" s="229">
        <f t="shared" si="4"/>
        <v>2322.4699999999998</v>
      </c>
    </row>
    <row r="83" spans="1:7" ht="58.5" x14ac:dyDescent="0.2">
      <c r="A83" s="281" t="s">
        <v>94</v>
      </c>
      <c r="B83" s="31" t="str">
        <f>Memória!C954</f>
        <v>07324/ORSE</v>
      </c>
      <c r="C83" s="32" t="str">
        <f>Memória!D954</f>
        <v>PISO TÁTIL DIRECIONAL E/OU ALERTA, DE CNCRETO, COLORIDO, P/DEFICIENTES VISUAIS, DIMENSÕES 25x25CM, AP0LICADO COM ARGAMASSA INDUSTRIALIZADA AC-II, REJUNTADO, EXCLUSIVE REGULARIZAÇÃO DE BASE, COR VERMELHA</v>
      </c>
      <c r="D83" s="33" t="s">
        <v>10</v>
      </c>
      <c r="E83" s="34">
        <f>Memória!F954</f>
        <v>4.6349999999999998</v>
      </c>
      <c r="F83" s="230">
        <v>74.41</v>
      </c>
      <c r="G83" s="229">
        <f t="shared" si="4"/>
        <v>344.89</v>
      </c>
    </row>
    <row r="84" spans="1:7" ht="58.5" x14ac:dyDescent="0.2">
      <c r="A84" s="281" t="s">
        <v>95</v>
      </c>
      <c r="B84" s="31" t="str">
        <f>Memória!C965</f>
        <v>07324/ORSE</v>
      </c>
      <c r="C84" s="32" t="str">
        <f>Memória!D965</f>
        <v>PISO TÁTIL DIRECIONAL E/OU ALERTA, DE CNCRETO, COLORIDO, P/DEFICIENTES VISUAIS, DIMENSÕES 25x25CM, AP0LICADO COM ARGAMASSA INDUSTRIALIZADA AC-II, REJUNTADO, EXCLUSIVE REGULARIZAÇÃO DE BASE, COR AZUL</v>
      </c>
      <c r="D84" s="33" t="s">
        <v>10</v>
      </c>
      <c r="E84" s="34">
        <f>Memória!F965</f>
        <v>6.7849999999999993</v>
      </c>
      <c r="F84" s="230">
        <v>74.41</v>
      </c>
      <c r="G84" s="229">
        <f t="shared" si="4"/>
        <v>504.87</v>
      </c>
    </row>
    <row r="85" spans="1:7" x14ac:dyDescent="0.2">
      <c r="A85" s="281" t="s">
        <v>120</v>
      </c>
      <c r="B85" s="31" t="str">
        <f>Memória!C975</f>
        <v>09587/ORSE</v>
      </c>
      <c r="C85" s="32" t="str">
        <f>Memória!D975</f>
        <v>SOLEIRA GRANITO POLIDO PRETO 15 cm, E= 2,0cm</v>
      </c>
      <c r="D85" s="33" t="s">
        <v>12</v>
      </c>
      <c r="E85" s="34">
        <f>Memória!F975</f>
        <v>1.56</v>
      </c>
      <c r="F85" s="230">
        <v>51.25</v>
      </c>
      <c r="G85" s="229">
        <f t="shared" si="4"/>
        <v>79.95</v>
      </c>
    </row>
    <row r="86" spans="1:7" s="243" customFormat="1" x14ac:dyDescent="0.2">
      <c r="A86" s="281" t="s">
        <v>733</v>
      </c>
      <c r="B86" s="240" t="str">
        <f>Memória!C982</f>
        <v>02259/ORSE</v>
      </c>
      <c r="C86" s="208" t="str">
        <f>Memória!D982</f>
        <v>RODAPÉ EM GRANILITE, H=7CM</v>
      </c>
      <c r="D86" s="223" t="s">
        <v>12</v>
      </c>
      <c r="E86" s="209">
        <f>Memória!F982</f>
        <v>14.4</v>
      </c>
      <c r="F86" s="241">
        <v>15.1</v>
      </c>
      <c r="G86" s="242">
        <f t="shared" si="4"/>
        <v>217.44</v>
      </c>
    </row>
    <row r="87" spans="1:7" s="71" customFormat="1" x14ac:dyDescent="0.2">
      <c r="A87" s="51" t="s">
        <v>204</v>
      </c>
      <c r="B87" s="73"/>
      <c r="C87" s="73" t="s">
        <v>41</v>
      </c>
      <c r="D87" s="53"/>
      <c r="E87" s="49"/>
      <c r="F87" s="231"/>
      <c r="G87" s="213">
        <f>ROUND(SUM(G88:G113),2)</f>
        <v>1001.85</v>
      </c>
    </row>
    <row r="88" spans="1:7" ht="39" x14ac:dyDescent="0.2">
      <c r="A88" s="240" t="s">
        <v>21</v>
      </c>
      <c r="B88" s="31">
        <v>89356</v>
      </c>
      <c r="C88" s="32" t="s">
        <v>487</v>
      </c>
      <c r="D88" s="31" t="s">
        <v>12</v>
      </c>
      <c r="E88" s="244">
        <v>5.41</v>
      </c>
      <c r="F88" s="230">
        <v>12.97</v>
      </c>
      <c r="G88" s="229">
        <f t="shared" ref="G88:G113" si="5">ROUND(F88*E88,2)</f>
        <v>70.17</v>
      </c>
    </row>
    <row r="89" spans="1:7" ht="39" x14ac:dyDescent="0.2">
      <c r="A89" s="240" t="s">
        <v>39</v>
      </c>
      <c r="B89" s="31">
        <v>89357</v>
      </c>
      <c r="C89" s="32" t="s">
        <v>488</v>
      </c>
      <c r="D89" s="31" t="s">
        <v>12</v>
      </c>
      <c r="E89" s="244">
        <v>3</v>
      </c>
      <c r="F89" s="230">
        <v>18.14</v>
      </c>
      <c r="G89" s="229">
        <f t="shared" si="5"/>
        <v>54.42</v>
      </c>
    </row>
    <row r="90" spans="1:7" ht="19.5" customHeight="1" x14ac:dyDescent="0.2">
      <c r="A90" s="240" t="s">
        <v>68</v>
      </c>
      <c r="B90" s="31">
        <v>89711</v>
      </c>
      <c r="C90" s="32" t="s">
        <v>489</v>
      </c>
      <c r="D90" s="31" t="s">
        <v>12</v>
      </c>
      <c r="E90" s="244">
        <v>0.89</v>
      </c>
      <c r="F90" s="230">
        <v>11.69</v>
      </c>
      <c r="G90" s="229">
        <f t="shared" si="5"/>
        <v>10.4</v>
      </c>
    </row>
    <row r="91" spans="1:7" ht="19.5" customHeight="1" x14ac:dyDescent="0.2">
      <c r="A91" s="240" t="s">
        <v>69</v>
      </c>
      <c r="B91" s="31">
        <v>89712</v>
      </c>
      <c r="C91" s="32" t="s">
        <v>490</v>
      </c>
      <c r="D91" s="31" t="s">
        <v>12</v>
      </c>
      <c r="E91" s="244">
        <v>1.26</v>
      </c>
      <c r="F91" s="230">
        <v>17.27</v>
      </c>
      <c r="G91" s="229">
        <f t="shared" si="5"/>
        <v>21.76</v>
      </c>
    </row>
    <row r="92" spans="1:7" ht="39" x14ac:dyDescent="0.2">
      <c r="A92" s="240" t="s">
        <v>182</v>
      </c>
      <c r="B92" s="31">
        <v>89714</v>
      </c>
      <c r="C92" s="32" t="s">
        <v>491</v>
      </c>
      <c r="D92" s="31" t="s">
        <v>12</v>
      </c>
      <c r="E92" s="244">
        <v>12.79</v>
      </c>
      <c r="F92" s="230">
        <v>32.64</v>
      </c>
      <c r="G92" s="229">
        <f t="shared" si="5"/>
        <v>417.47</v>
      </c>
    </row>
    <row r="93" spans="1:7" ht="39" x14ac:dyDescent="0.2">
      <c r="A93" s="240" t="s">
        <v>183</v>
      </c>
      <c r="B93" s="31">
        <v>89985</v>
      </c>
      <c r="C93" s="32" t="s">
        <v>492</v>
      </c>
      <c r="D93" s="31" t="s">
        <v>11</v>
      </c>
      <c r="E93" s="244">
        <v>1</v>
      </c>
      <c r="F93" s="230">
        <v>61.03</v>
      </c>
      <c r="G93" s="229">
        <f t="shared" si="5"/>
        <v>61.03</v>
      </c>
    </row>
    <row r="94" spans="1:7" ht="39" x14ac:dyDescent="0.2">
      <c r="A94" s="240" t="s">
        <v>211</v>
      </c>
      <c r="B94" s="31">
        <v>89987</v>
      </c>
      <c r="C94" s="32" t="s">
        <v>493</v>
      </c>
      <c r="D94" s="31" t="s">
        <v>11</v>
      </c>
      <c r="E94" s="244">
        <v>1</v>
      </c>
      <c r="F94" s="230">
        <v>64.27</v>
      </c>
      <c r="G94" s="229">
        <f t="shared" si="5"/>
        <v>64.27</v>
      </c>
    </row>
    <row r="95" spans="1:7" ht="39" x14ac:dyDescent="0.2">
      <c r="A95" s="240" t="s">
        <v>494</v>
      </c>
      <c r="B95" s="31">
        <v>89778</v>
      </c>
      <c r="C95" s="32" t="s">
        <v>495</v>
      </c>
      <c r="D95" s="31" t="s">
        <v>496</v>
      </c>
      <c r="E95" s="244">
        <v>3</v>
      </c>
      <c r="F95" s="230">
        <v>10.53</v>
      </c>
      <c r="G95" s="229">
        <f t="shared" si="5"/>
        <v>31.59</v>
      </c>
    </row>
    <row r="96" spans="1:7" ht="39" x14ac:dyDescent="0.2">
      <c r="A96" s="240" t="s">
        <v>497</v>
      </c>
      <c r="B96" s="31">
        <v>89753</v>
      </c>
      <c r="C96" s="32" t="s">
        <v>498</v>
      </c>
      <c r="D96" s="31" t="s">
        <v>496</v>
      </c>
      <c r="E96" s="244">
        <v>2</v>
      </c>
      <c r="F96" s="230">
        <v>5.07</v>
      </c>
      <c r="G96" s="229">
        <f t="shared" si="5"/>
        <v>10.14</v>
      </c>
    </row>
    <row r="97" spans="1:7" ht="43.5" customHeight="1" x14ac:dyDescent="0.2">
      <c r="A97" s="240" t="s">
        <v>499</v>
      </c>
      <c r="B97" s="31">
        <v>89748</v>
      </c>
      <c r="C97" s="32" t="s">
        <v>500</v>
      </c>
      <c r="D97" s="31" t="s">
        <v>496</v>
      </c>
      <c r="E97" s="244">
        <v>1</v>
      </c>
      <c r="F97" s="230">
        <v>23.38</v>
      </c>
      <c r="G97" s="229">
        <f t="shared" si="5"/>
        <v>23.38</v>
      </c>
    </row>
    <row r="98" spans="1:7" ht="42.75" customHeight="1" x14ac:dyDescent="0.2">
      <c r="A98" s="240" t="s">
        <v>501</v>
      </c>
      <c r="B98" s="31">
        <v>89732</v>
      </c>
      <c r="C98" s="32" t="s">
        <v>502</v>
      </c>
      <c r="D98" s="31" t="s">
        <v>496</v>
      </c>
      <c r="E98" s="244">
        <v>1</v>
      </c>
      <c r="F98" s="230">
        <v>6.78</v>
      </c>
      <c r="G98" s="229">
        <f t="shared" si="5"/>
        <v>6.78</v>
      </c>
    </row>
    <row r="99" spans="1:7" ht="37.5" customHeight="1" x14ac:dyDescent="0.2">
      <c r="A99" s="240" t="s">
        <v>503</v>
      </c>
      <c r="B99" s="31">
        <v>89724</v>
      </c>
      <c r="C99" s="32" t="s">
        <v>504</v>
      </c>
      <c r="D99" s="31" t="s">
        <v>496</v>
      </c>
      <c r="E99" s="244">
        <v>3</v>
      </c>
      <c r="F99" s="230">
        <v>4.54</v>
      </c>
      <c r="G99" s="229">
        <f t="shared" si="5"/>
        <v>13.62</v>
      </c>
    </row>
    <row r="100" spans="1:7" ht="42.75" customHeight="1" x14ac:dyDescent="0.2">
      <c r="A100" s="240" t="s">
        <v>505</v>
      </c>
      <c r="B100" s="31">
        <v>89744</v>
      </c>
      <c r="C100" s="32" t="s">
        <v>506</v>
      </c>
      <c r="D100" s="31" t="s">
        <v>496</v>
      </c>
      <c r="E100" s="244">
        <v>1</v>
      </c>
      <c r="F100" s="230">
        <v>14.31</v>
      </c>
      <c r="G100" s="229">
        <f t="shared" si="5"/>
        <v>14.31</v>
      </c>
    </row>
    <row r="101" spans="1:7" ht="39" x14ac:dyDescent="0.2">
      <c r="A101" s="240" t="s">
        <v>507</v>
      </c>
      <c r="B101" s="31">
        <v>89796</v>
      </c>
      <c r="C101" s="32" t="s">
        <v>508</v>
      </c>
      <c r="D101" s="31" t="s">
        <v>496</v>
      </c>
      <c r="E101" s="244">
        <v>2</v>
      </c>
      <c r="F101" s="230">
        <v>23.49</v>
      </c>
      <c r="G101" s="229">
        <f t="shared" si="5"/>
        <v>46.98</v>
      </c>
    </row>
    <row r="102" spans="1:7" ht="39" customHeight="1" x14ac:dyDescent="0.2">
      <c r="A102" s="240" t="s">
        <v>509</v>
      </c>
      <c r="B102" s="31">
        <v>89726</v>
      </c>
      <c r="C102" s="32" t="s">
        <v>510</v>
      </c>
      <c r="D102" s="31" t="s">
        <v>496</v>
      </c>
      <c r="E102" s="244">
        <v>1</v>
      </c>
      <c r="F102" s="230">
        <v>5.18</v>
      </c>
      <c r="G102" s="229">
        <f t="shared" si="5"/>
        <v>5.18</v>
      </c>
    </row>
    <row r="103" spans="1:7" ht="39" x14ac:dyDescent="0.2">
      <c r="A103" s="240" t="s">
        <v>511</v>
      </c>
      <c r="B103" s="31">
        <v>89707</v>
      </c>
      <c r="C103" s="32" t="s">
        <v>512</v>
      </c>
      <c r="D103" s="31" t="s">
        <v>496</v>
      </c>
      <c r="E103" s="244">
        <v>2</v>
      </c>
      <c r="F103" s="230">
        <v>18.45</v>
      </c>
      <c r="G103" s="229">
        <f t="shared" si="5"/>
        <v>36.9</v>
      </c>
    </row>
    <row r="104" spans="1:7" ht="39" x14ac:dyDescent="0.2">
      <c r="A104" s="240" t="s">
        <v>513</v>
      </c>
      <c r="B104" s="31">
        <v>89367</v>
      </c>
      <c r="C104" s="32" t="s">
        <v>514</v>
      </c>
      <c r="D104" s="31" t="s">
        <v>496</v>
      </c>
      <c r="E104" s="244">
        <v>2</v>
      </c>
      <c r="F104" s="230">
        <v>6.87</v>
      </c>
      <c r="G104" s="229">
        <f t="shared" si="5"/>
        <v>13.74</v>
      </c>
    </row>
    <row r="105" spans="1:7" ht="39" x14ac:dyDescent="0.2">
      <c r="A105" s="240" t="s">
        <v>515</v>
      </c>
      <c r="B105" s="31">
        <v>89362</v>
      </c>
      <c r="C105" s="32" t="s">
        <v>516</v>
      </c>
      <c r="D105" s="31" t="s">
        <v>496</v>
      </c>
      <c r="E105" s="244">
        <v>2</v>
      </c>
      <c r="F105" s="230">
        <v>5.1100000000000003</v>
      </c>
      <c r="G105" s="229">
        <f t="shared" si="5"/>
        <v>10.220000000000001</v>
      </c>
    </row>
    <row r="106" spans="1:7" ht="39" x14ac:dyDescent="0.2">
      <c r="A106" s="240" t="s">
        <v>517</v>
      </c>
      <c r="B106" s="31">
        <v>90373</v>
      </c>
      <c r="C106" s="32" t="s">
        <v>518</v>
      </c>
      <c r="D106" s="31" t="s">
        <v>496</v>
      </c>
      <c r="E106" s="244">
        <v>4</v>
      </c>
      <c r="F106" s="230">
        <v>8.43</v>
      </c>
      <c r="G106" s="229">
        <f t="shared" si="5"/>
        <v>33.72</v>
      </c>
    </row>
    <row r="107" spans="1:7" ht="39" x14ac:dyDescent="0.2">
      <c r="A107" s="240" t="s">
        <v>519</v>
      </c>
      <c r="B107" s="31">
        <v>89385</v>
      </c>
      <c r="C107" s="32" t="s">
        <v>520</v>
      </c>
      <c r="D107" s="31" t="s">
        <v>496</v>
      </c>
      <c r="E107" s="244">
        <v>1</v>
      </c>
      <c r="F107" s="230">
        <v>4.07</v>
      </c>
      <c r="G107" s="229">
        <f t="shared" si="5"/>
        <v>4.07</v>
      </c>
    </row>
    <row r="108" spans="1:7" ht="39" x14ac:dyDescent="0.2">
      <c r="A108" s="240" t="s">
        <v>521</v>
      </c>
      <c r="B108" s="31">
        <v>89395</v>
      </c>
      <c r="C108" s="32" t="s">
        <v>522</v>
      </c>
      <c r="D108" s="31" t="s">
        <v>496</v>
      </c>
      <c r="E108" s="244">
        <v>3</v>
      </c>
      <c r="F108" s="230">
        <v>7.11</v>
      </c>
      <c r="G108" s="229">
        <f t="shared" si="5"/>
        <v>21.33</v>
      </c>
    </row>
    <row r="109" spans="1:7" ht="39" x14ac:dyDescent="0.2">
      <c r="A109" s="240" t="s">
        <v>523</v>
      </c>
      <c r="B109" s="31">
        <v>89383</v>
      </c>
      <c r="C109" s="208" t="s">
        <v>524</v>
      </c>
      <c r="D109" s="31" t="s">
        <v>496</v>
      </c>
      <c r="E109" s="244">
        <v>3</v>
      </c>
      <c r="F109" s="230">
        <v>4.05</v>
      </c>
      <c r="G109" s="229">
        <f t="shared" si="5"/>
        <v>12.15</v>
      </c>
    </row>
    <row r="110" spans="1:7" x14ac:dyDescent="0.2">
      <c r="A110" s="240" t="s">
        <v>525</v>
      </c>
      <c r="B110" s="31" t="s">
        <v>536</v>
      </c>
      <c r="C110" s="208" t="s">
        <v>526</v>
      </c>
      <c r="D110" s="31" t="s">
        <v>496</v>
      </c>
      <c r="E110" s="244">
        <v>1</v>
      </c>
      <c r="F110" s="230">
        <v>1.82</v>
      </c>
      <c r="G110" s="229">
        <f t="shared" si="5"/>
        <v>1.82</v>
      </c>
    </row>
    <row r="111" spans="1:7" x14ac:dyDescent="0.2">
      <c r="A111" s="240" t="s">
        <v>527</v>
      </c>
      <c r="B111" s="31" t="s">
        <v>535</v>
      </c>
      <c r="C111" s="208" t="s">
        <v>528</v>
      </c>
      <c r="D111" s="31" t="s">
        <v>496</v>
      </c>
      <c r="E111" s="244">
        <v>1</v>
      </c>
      <c r="F111" s="230">
        <v>9.77</v>
      </c>
      <c r="G111" s="229">
        <f t="shared" si="5"/>
        <v>9.77</v>
      </c>
    </row>
    <row r="112" spans="1:7" x14ac:dyDescent="0.2">
      <c r="A112" s="240" t="s">
        <v>529</v>
      </c>
      <c r="B112" s="31" t="s">
        <v>534</v>
      </c>
      <c r="C112" s="208" t="s">
        <v>530</v>
      </c>
      <c r="D112" s="31" t="s">
        <v>496</v>
      </c>
      <c r="E112" s="244">
        <v>2</v>
      </c>
      <c r="F112" s="230">
        <v>1.8</v>
      </c>
      <c r="G112" s="229">
        <f t="shared" si="5"/>
        <v>3.6</v>
      </c>
    </row>
    <row r="113" spans="1:7" x14ac:dyDescent="0.2">
      <c r="A113" s="240" t="s">
        <v>531</v>
      </c>
      <c r="B113" s="31" t="s">
        <v>533</v>
      </c>
      <c r="C113" s="208" t="s">
        <v>532</v>
      </c>
      <c r="D113" s="31" t="s">
        <v>496</v>
      </c>
      <c r="E113" s="244">
        <v>3</v>
      </c>
      <c r="F113" s="230">
        <v>1.01</v>
      </c>
      <c r="G113" s="229">
        <f t="shared" si="5"/>
        <v>3.03</v>
      </c>
    </row>
    <row r="114" spans="1:7" s="71" customFormat="1" x14ac:dyDescent="0.2">
      <c r="A114" s="51" t="s">
        <v>205</v>
      </c>
      <c r="B114" s="52"/>
      <c r="C114" s="73" t="s">
        <v>49</v>
      </c>
      <c r="D114" s="67"/>
      <c r="E114" s="49"/>
      <c r="F114" s="231"/>
      <c r="G114" s="213">
        <f>ROUND(SUM(G115:G130),2)</f>
        <v>9408.33</v>
      </c>
    </row>
    <row r="115" spans="1:7" s="80" customFormat="1" ht="39" x14ac:dyDescent="0.2">
      <c r="A115" s="240" t="s">
        <v>121</v>
      </c>
      <c r="B115" s="240">
        <f>Memória!C1115</f>
        <v>91931</v>
      </c>
      <c r="C115" s="208" t="str">
        <f>Memória!D1115</f>
        <v>CABO DE COBRE FLEXÍVEL ISOLADO, 6 MM², ANTI-CHAMA 0,6/1,0 KV, PARA CIRCUITOS TERMINAIS - FORNECIMENTO E INSTALAÇÃO. AF_12/2015</v>
      </c>
      <c r="D115" s="240" t="s">
        <v>11</v>
      </c>
      <c r="E115" s="282">
        <f>Memória!F1115</f>
        <v>15</v>
      </c>
      <c r="F115" s="241">
        <v>5.16</v>
      </c>
      <c r="G115" s="242">
        <f t="shared" ref="G115:G130" si="6">E115*F115</f>
        <v>77.400000000000006</v>
      </c>
    </row>
    <row r="116" spans="1:7" s="80" customFormat="1" ht="39" x14ac:dyDescent="0.2">
      <c r="A116" s="240" t="s">
        <v>122</v>
      </c>
      <c r="B116" s="240">
        <f>Memória!C1121</f>
        <v>93654</v>
      </c>
      <c r="C116" s="208" t="str">
        <f>Memória!D1121</f>
        <v>DISJUNTOR MONOPOLAR TIPO DIN, CORRENTE NOMINAL DE 16A - FORNECIMENTO E INSTALAÇÃO. AF_04/2016</v>
      </c>
      <c r="D116" s="240" t="s">
        <v>11</v>
      </c>
      <c r="E116" s="282">
        <f>Memória!F1121</f>
        <v>6</v>
      </c>
      <c r="F116" s="241">
        <v>8.6199999999999992</v>
      </c>
      <c r="G116" s="242">
        <f t="shared" si="6"/>
        <v>51.72</v>
      </c>
    </row>
    <row r="117" spans="1:7" s="81" customFormat="1" ht="39" x14ac:dyDescent="0.2">
      <c r="A117" s="240" t="s">
        <v>123</v>
      </c>
      <c r="B117" s="240">
        <v>93655</v>
      </c>
      <c r="C117" s="208" t="s">
        <v>574</v>
      </c>
      <c r="D117" s="240" t="s">
        <v>11</v>
      </c>
      <c r="E117" s="282">
        <v>12</v>
      </c>
      <c r="F117" s="241">
        <v>9.2200000000000006</v>
      </c>
      <c r="G117" s="242">
        <f t="shared" si="6"/>
        <v>110.64000000000001</v>
      </c>
    </row>
    <row r="118" spans="1:7" s="81" customFormat="1" ht="39" x14ac:dyDescent="0.2">
      <c r="A118" s="240" t="s">
        <v>124</v>
      </c>
      <c r="B118" s="240">
        <f>Memória!C1139</f>
        <v>93671</v>
      </c>
      <c r="C118" s="208" t="str">
        <f>Memória!D1133</f>
        <v>DISJUNTOR TRIPOLAR TIPO DIN, CORRENTE NOMINAL DE 50A - FORNECIMENTO E INSTALAÇÃO. AF_04/2016</v>
      </c>
      <c r="D118" s="240" t="s">
        <v>11</v>
      </c>
      <c r="E118" s="282">
        <v>1</v>
      </c>
      <c r="F118" s="241">
        <v>57.95</v>
      </c>
      <c r="G118" s="242">
        <f t="shared" si="6"/>
        <v>57.95</v>
      </c>
    </row>
    <row r="119" spans="1:7" s="81" customFormat="1" ht="39" x14ac:dyDescent="0.2">
      <c r="A119" s="240" t="s">
        <v>125</v>
      </c>
      <c r="B119" s="240">
        <f>Memória!C1145</f>
        <v>93672</v>
      </c>
      <c r="C119" s="208" t="str">
        <f>Memória!D1139</f>
        <v>DISJUNTOR TRIPOLAR TIPO DIN, CORRENTE NOMINAL DE 32A - FORNECIMENTO E INSTALAÇÃO. AF_04/2016</v>
      </c>
      <c r="D119" s="240" t="s">
        <v>11</v>
      </c>
      <c r="E119" s="282">
        <v>1</v>
      </c>
      <c r="F119" s="241">
        <v>61.75</v>
      </c>
      <c r="G119" s="242">
        <f t="shared" si="6"/>
        <v>61.75</v>
      </c>
    </row>
    <row r="120" spans="1:7" s="81" customFormat="1" ht="39" x14ac:dyDescent="0.2">
      <c r="A120" s="240" t="s">
        <v>126</v>
      </c>
      <c r="B120" s="240">
        <v>93673</v>
      </c>
      <c r="C120" s="208" t="s">
        <v>575</v>
      </c>
      <c r="D120" s="240" t="s">
        <v>11</v>
      </c>
      <c r="E120" s="282">
        <v>1</v>
      </c>
      <c r="F120" s="241">
        <v>66.53</v>
      </c>
      <c r="G120" s="242">
        <f t="shared" si="6"/>
        <v>66.53</v>
      </c>
    </row>
    <row r="121" spans="1:7" s="81" customFormat="1" ht="39" x14ac:dyDescent="0.2">
      <c r="A121" s="240" t="s">
        <v>127</v>
      </c>
      <c r="B121" s="240" t="s">
        <v>563</v>
      </c>
      <c r="C121" s="208" t="s">
        <v>576</v>
      </c>
      <c r="D121" s="240" t="s">
        <v>221</v>
      </c>
      <c r="E121" s="282">
        <v>12</v>
      </c>
      <c r="F121" s="241">
        <v>172.47</v>
      </c>
      <c r="G121" s="242">
        <f t="shared" si="6"/>
        <v>2069.64</v>
      </c>
    </row>
    <row r="122" spans="1:7" s="81" customFormat="1" ht="39" x14ac:dyDescent="0.2">
      <c r="A122" s="240" t="s">
        <v>128</v>
      </c>
      <c r="B122" s="240" t="s">
        <v>564</v>
      </c>
      <c r="C122" s="208" t="s">
        <v>577</v>
      </c>
      <c r="D122" s="240" t="s">
        <v>221</v>
      </c>
      <c r="E122" s="282">
        <v>2</v>
      </c>
      <c r="F122" s="241">
        <v>102.49</v>
      </c>
      <c r="G122" s="242">
        <f t="shared" si="6"/>
        <v>204.98</v>
      </c>
    </row>
    <row r="123" spans="1:7" s="81" customFormat="1" ht="39" x14ac:dyDescent="0.2">
      <c r="A123" s="240" t="s">
        <v>129</v>
      </c>
      <c r="B123" s="240" t="s">
        <v>565</v>
      </c>
      <c r="C123" s="208" t="s">
        <v>578</v>
      </c>
      <c r="D123" s="240" t="s">
        <v>221</v>
      </c>
      <c r="E123" s="282">
        <v>4</v>
      </c>
      <c r="F123" s="241">
        <v>88.68</v>
      </c>
      <c r="G123" s="242">
        <f t="shared" si="6"/>
        <v>354.72</v>
      </c>
    </row>
    <row r="124" spans="1:7" s="81" customFormat="1" ht="39" x14ac:dyDescent="0.2">
      <c r="A124" s="240" t="s">
        <v>130</v>
      </c>
      <c r="B124" s="240" t="s">
        <v>566</v>
      </c>
      <c r="C124" s="208" t="s">
        <v>579</v>
      </c>
      <c r="D124" s="240" t="s">
        <v>221</v>
      </c>
      <c r="E124" s="282">
        <v>11</v>
      </c>
      <c r="F124" s="241">
        <v>128.62</v>
      </c>
      <c r="G124" s="242">
        <f t="shared" si="6"/>
        <v>1414.8200000000002</v>
      </c>
    </row>
    <row r="125" spans="1:7" s="81" customFormat="1" ht="58.5" x14ac:dyDescent="0.2">
      <c r="A125" s="240" t="s">
        <v>131</v>
      </c>
      <c r="B125" s="240" t="s">
        <v>567</v>
      </c>
      <c r="C125" s="208" t="s">
        <v>580</v>
      </c>
      <c r="D125" s="240" t="s">
        <v>221</v>
      </c>
      <c r="E125" s="282">
        <v>3</v>
      </c>
      <c r="F125" s="241">
        <v>188.69</v>
      </c>
      <c r="G125" s="242">
        <f t="shared" si="6"/>
        <v>566.06999999999994</v>
      </c>
    </row>
    <row r="126" spans="1:7" s="80" customFormat="1" ht="58.5" x14ac:dyDescent="0.2">
      <c r="A126" s="240" t="s">
        <v>132</v>
      </c>
      <c r="B126" s="240" t="s">
        <v>568</v>
      </c>
      <c r="C126" s="208" t="s">
        <v>581</v>
      </c>
      <c r="D126" s="240" t="s">
        <v>11</v>
      </c>
      <c r="E126" s="282">
        <v>2</v>
      </c>
      <c r="F126" s="241">
        <v>313.52</v>
      </c>
      <c r="G126" s="242">
        <f t="shared" si="6"/>
        <v>627.04</v>
      </c>
    </row>
    <row r="127" spans="1:7" s="81" customFormat="1" ht="39" x14ac:dyDescent="0.2">
      <c r="A127" s="240" t="s">
        <v>67</v>
      </c>
      <c r="B127" s="240" t="s">
        <v>571</v>
      </c>
      <c r="C127" s="208" t="s">
        <v>678</v>
      </c>
      <c r="D127" s="240" t="s">
        <v>11</v>
      </c>
      <c r="E127" s="282">
        <v>2</v>
      </c>
      <c r="F127" s="241">
        <v>165.43</v>
      </c>
      <c r="G127" s="242">
        <f t="shared" si="6"/>
        <v>330.86</v>
      </c>
    </row>
    <row r="128" spans="1:7" s="81" customFormat="1" ht="58.5" x14ac:dyDescent="0.2">
      <c r="A128" s="240" t="s">
        <v>668</v>
      </c>
      <c r="B128" s="240" t="s">
        <v>570</v>
      </c>
      <c r="C128" s="208" t="s">
        <v>582</v>
      </c>
      <c r="D128" s="240" t="s">
        <v>11</v>
      </c>
      <c r="E128" s="282">
        <v>1</v>
      </c>
      <c r="F128" s="241">
        <v>170.13</v>
      </c>
      <c r="G128" s="242">
        <f t="shared" si="6"/>
        <v>170.13</v>
      </c>
    </row>
    <row r="129" spans="1:7" s="80" customFormat="1" ht="39" x14ac:dyDescent="0.2">
      <c r="A129" s="240" t="s">
        <v>670</v>
      </c>
      <c r="B129" s="240" t="s">
        <v>674</v>
      </c>
      <c r="C129" s="208" t="s">
        <v>676</v>
      </c>
      <c r="D129" s="240" t="s">
        <v>11</v>
      </c>
      <c r="E129" s="282">
        <v>6</v>
      </c>
      <c r="F129" s="241">
        <v>488.88</v>
      </c>
      <c r="G129" s="242">
        <f t="shared" si="6"/>
        <v>2933.2799999999997</v>
      </c>
    </row>
    <row r="130" spans="1:7" s="80" customFormat="1" ht="39" x14ac:dyDescent="0.2">
      <c r="A130" s="240" t="s">
        <v>671</v>
      </c>
      <c r="B130" s="240" t="s">
        <v>675</v>
      </c>
      <c r="C130" s="208" t="s">
        <v>677</v>
      </c>
      <c r="D130" s="240" t="s">
        <v>11</v>
      </c>
      <c r="E130" s="282">
        <v>3</v>
      </c>
      <c r="F130" s="241">
        <v>103.6</v>
      </c>
      <c r="G130" s="242">
        <f t="shared" si="6"/>
        <v>310.79999999999995</v>
      </c>
    </row>
    <row r="131" spans="1:7" s="83" customFormat="1" x14ac:dyDescent="0.2">
      <c r="A131" s="86" t="s">
        <v>206</v>
      </c>
      <c r="B131" s="55"/>
      <c r="C131" s="56" t="s">
        <v>45</v>
      </c>
      <c r="D131" s="87"/>
      <c r="E131" s="49"/>
      <c r="F131" s="231"/>
      <c r="G131" s="213">
        <f>SUM(G132:G133)</f>
        <v>371.27</v>
      </c>
    </row>
    <row r="132" spans="1:7" s="84" customFormat="1" ht="39" x14ac:dyDescent="0.2">
      <c r="A132" s="245" t="s">
        <v>217</v>
      </c>
      <c r="B132" s="31" t="s">
        <v>537</v>
      </c>
      <c r="C132" s="32" t="str">
        <f>Memória!D1215</f>
        <v>EXTINTOR INCENDIO ÁGUA PRESSURIZADA 10L, INCLUSO SUPORTE PAREDE CARGA COMPLETA, FORNECIMENTO E COLOCAÇÃO</v>
      </c>
      <c r="D132" s="88" t="s">
        <v>11</v>
      </c>
      <c r="E132" s="37">
        <f>Memória!F1215</f>
        <v>1</v>
      </c>
      <c r="F132" s="230">
        <v>188.52</v>
      </c>
      <c r="G132" s="229">
        <f>ROUND(F132*E132,2)</f>
        <v>188.52</v>
      </c>
    </row>
    <row r="133" spans="1:7" s="84" customFormat="1" x14ac:dyDescent="0.2">
      <c r="A133" s="245" t="s">
        <v>218</v>
      </c>
      <c r="B133" s="31" t="s">
        <v>538</v>
      </c>
      <c r="C133" s="32" t="str">
        <f>Memória!D1222</f>
        <v>EXTINTOR INCENDIO TP PO QUIMICO 4KG FORNECIMENTO E COLOCACAO</v>
      </c>
      <c r="D133" s="88" t="s">
        <v>11</v>
      </c>
      <c r="E133" s="37">
        <f>Memória!F1222</f>
        <v>1</v>
      </c>
      <c r="F133" s="230">
        <v>182.75</v>
      </c>
      <c r="G133" s="229">
        <f>ROUND(F133*E133,2)</f>
        <v>182.75</v>
      </c>
    </row>
    <row r="134" spans="1:7" s="71" customFormat="1" x14ac:dyDescent="0.2">
      <c r="A134" s="46" t="s">
        <v>207</v>
      </c>
      <c r="B134" s="47"/>
      <c r="C134" s="70" t="s">
        <v>50</v>
      </c>
      <c r="D134" s="48"/>
      <c r="E134" s="58"/>
      <c r="F134" s="231"/>
      <c r="G134" s="213">
        <f>ROUND(SUM(G135:G162),2)</f>
        <v>8913.5400000000009</v>
      </c>
    </row>
    <row r="135" spans="1:7" x14ac:dyDescent="0.2">
      <c r="A135" s="245" t="s">
        <v>46</v>
      </c>
      <c r="B135" s="240" t="s">
        <v>679</v>
      </c>
      <c r="C135" s="208" t="s">
        <v>680</v>
      </c>
      <c r="D135" s="283" t="s">
        <v>11</v>
      </c>
      <c r="E135" s="270">
        <v>100</v>
      </c>
      <c r="F135" s="241">
        <v>0.1</v>
      </c>
      <c r="G135" s="242">
        <f t="shared" ref="G135:G162" si="7">ROUND(F135*E135,2)</f>
        <v>10</v>
      </c>
    </row>
    <row r="136" spans="1:7" x14ac:dyDescent="0.2">
      <c r="A136" s="245" t="s">
        <v>133</v>
      </c>
      <c r="B136" s="240" t="s">
        <v>681</v>
      </c>
      <c r="C136" s="208" t="s">
        <v>682</v>
      </c>
      <c r="D136" s="283" t="s">
        <v>11</v>
      </c>
      <c r="E136" s="270">
        <v>4</v>
      </c>
      <c r="F136" s="241">
        <v>570.65</v>
      </c>
      <c r="G136" s="242">
        <f t="shared" si="7"/>
        <v>2282.6</v>
      </c>
    </row>
    <row r="137" spans="1:7" ht="39" x14ac:dyDescent="0.2">
      <c r="A137" s="245" t="s">
        <v>134</v>
      </c>
      <c r="B137" s="240" t="s">
        <v>683</v>
      </c>
      <c r="C137" s="208" t="s">
        <v>684</v>
      </c>
      <c r="D137" s="283" t="s">
        <v>11</v>
      </c>
      <c r="E137" s="270">
        <v>10</v>
      </c>
      <c r="F137" s="241">
        <v>27.39</v>
      </c>
      <c r="G137" s="242">
        <f t="shared" si="7"/>
        <v>273.89999999999998</v>
      </c>
    </row>
    <row r="138" spans="1:7" x14ac:dyDescent="0.2">
      <c r="A138" s="245" t="s">
        <v>135</v>
      </c>
      <c r="B138" s="240" t="s">
        <v>685</v>
      </c>
      <c r="C138" s="208" t="s">
        <v>686</v>
      </c>
      <c r="D138" s="283" t="s">
        <v>11</v>
      </c>
      <c r="E138" s="270">
        <v>1</v>
      </c>
      <c r="F138" s="241">
        <f>'[1]COMPOSIÇÃO GERAL'!$E$2431</f>
        <v>69.13</v>
      </c>
      <c r="G138" s="242">
        <f t="shared" si="7"/>
        <v>69.13</v>
      </c>
    </row>
    <row r="139" spans="1:7" ht="58.5" x14ac:dyDescent="0.2">
      <c r="A139" s="245" t="s">
        <v>136</v>
      </c>
      <c r="B139" s="240" t="s">
        <v>687</v>
      </c>
      <c r="C139" s="208" t="s">
        <v>688</v>
      </c>
      <c r="D139" s="283" t="s">
        <v>11</v>
      </c>
      <c r="E139" s="270">
        <v>1</v>
      </c>
      <c r="F139" s="241">
        <v>533.16</v>
      </c>
      <c r="G139" s="242">
        <f t="shared" si="7"/>
        <v>533.16</v>
      </c>
    </row>
    <row r="140" spans="1:7" x14ac:dyDescent="0.2">
      <c r="A140" s="245" t="s">
        <v>137</v>
      </c>
      <c r="B140" s="240" t="s">
        <v>689</v>
      </c>
      <c r="C140" s="208" t="s">
        <v>690</v>
      </c>
      <c r="D140" s="283" t="s">
        <v>11</v>
      </c>
      <c r="E140" s="270">
        <v>1</v>
      </c>
      <c r="F140" s="241">
        <v>84.88</v>
      </c>
      <c r="G140" s="242">
        <f t="shared" si="7"/>
        <v>84.88</v>
      </c>
    </row>
    <row r="141" spans="1:7" ht="39" x14ac:dyDescent="0.2">
      <c r="A141" s="245" t="s">
        <v>138</v>
      </c>
      <c r="B141" s="240" t="s">
        <v>691</v>
      </c>
      <c r="C141" s="208" t="s">
        <v>692</v>
      </c>
      <c r="D141" s="283" t="s">
        <v>693</v>
      </c>
      <c r="E141" s="270">
        <v>5</v>
      </c>
      <c r="F141" s="241">
        <v>7.77</v>
      </c>
      <c r="G141" s="242">
        <f t="shared" si="7"/>
        <v>38.85</v>
      </c>
    </row>
    <row r="142" spans="1:7" ht="39" x14ac:dyDescent="0.2">
      <c r="A142" s="245" t="s">
        <v>139</v>
      </c>
      <c r="B142" s="240" t="s">
        <v>694</v>
      </c>
      <c r="C142" s="208" t="s">
        <v>695</v>
      </c>
      <c r="D142" s="283" t="s">
        <v>693</v>
      </c>
      <c r="E142" s="270">
        <v>3</v>
      </c>
      <c r="F142" s="241">
        <v>9.34</v>
      </c>
      <c r="G142" s="242">
        <f t="shared" si="7"/>
        <v>28.02</v>
      </c>
    </row>
    <row r="143" spans="1:7" x14ac:dyDescent="0.2">
      <c r="A143" s="245" t="s">
        <v>140</v>
      </c>
      <c r="B143" s="240" t="s">
        <v>696</v>
      </c>
      <c r="C143" s="208" t="s">
        <v>697</v>
      </c>
      <c r="D143" s="283" t="s">
        <v>11</v>
      </c>
      <c r="E143" s="270">
        <v>1</v>
      </c>
      <c r="F143" s="241">
        <v>716.75</v>
      </c>
      <c r="G143" s="242">
        <f t="shared" si="7"/>
        <v>716.75</v>
      </c>
    </row>
    <row r="144" spans="1:7" ht="39" x14ac:dyDescent="0.2">
      <c r="A144" s="245" t="s">
        <v>141</v>
      </c>
      <c r="B144" s="240">
        <v>91871</v>
      </c>
      <c r="C144" s="208" t="s">
        <v>698</v>
      </c>
      <c r="D144" s="283" t="s">
        <v>12</v>
      </c>
      <c r="E144" s="270">
        <f>[2]Memória!F1114</f>
        <v>15.4</v>
      </c>
      <c r="F144" s="241">
        <v>6.76</v>
      </c>
      <c r="G144" s="242">
        <f t="shared" si="7"/>
        <v>104.1</v>
      </c>
    </row>
    <row r="145" spans="1:7" s="85" customFormat="1" ht="39" x14ac:dyDescent="0.2">
      <c r="A145" s="245" t="s">
        <v>142</v>
      </c>
      <c r="B145" s="240">
        <v>91872</v>
      </c>
      <c r="C145" s="208" t="s">
        <v>699</v>
      </c>
      <c r="D145" s="283" t="s">
        <v>12</v>
      </c>
      <c r="E145" s="270">
        <f>[2]Memória!F1120</f>
        <v>9</v>
      </c>
      <c r="F145" s="241">
        <v>8.61</v>
      </c>
      <c r="G145" s="242">
        <f t="shared" si="7"/>
        <v>77.489999999999995</v>
      </c>
    </row>
    <row r="146" spans="1:7" x14ac:dyDescent="0.2">
      <c r="A146" s="245" t="s">
        <v>143</v>
      </c>
      <c r="B146" s="240" t="s">
        <v>700</v>
      </c>
      <c r="C146" s="208" t="s">
        <v>701</v>
      </c>
      <c r="D146" s="283" t="s">
        <v>11</v>
      </c>
      <c r="E146" s="270">
        <v>1</v>
      </c>
      <c r="F146" s="241">
        <v>104.69</v>
      </c>
      <c r="G146" s="242">
        <f t="shared" si="7"/>
        <v>104.69</v>
      </c>
    </row>
    <row r="147" spans="1:7" x14ac:dyDescent="0.2">
      <c r="A147" s="245" t="s">
        <v>144</v>
      </c>
      <c r="B147" s="240" t="s">
        <v>702</v>
      </c>
      <c r="C147" s="208" t="s">
        <v>703</v>
      </c>
      <c r="D147" s="283" t="s">
        <v>11</v>
      </c>
      <c r="E147" s="270">
        <v>10</v>
      </c>
      <c r="F147" s="241">
        <v>6.95</v>
      </c>
      <c r="G147" s="242">
        <f t="shared" si="7"/>
        <v>69.5</v>
      </c>
    </row>
    <row r="148" spans="1:7" x14ac:dyDescent="0.2">
      <c r="A148" s="245" t="s">
        <v>145</v>
      </c>
      <c r="B148" s="240" t="s">
        <v>704</v>
      </c>
      <c r="C148" s="208" t="s">
        <v>705</v>
      </c>
      <c r="D148" s="283" t="s">
        <v>11</v>
      </c>
      <c r="E148" s="270">
        <v>1</v>
      </c>
      <c r="F148" s="241">
        <v>538.82000000000005</v>
      </c>
      <c r="G148" s="242">
        <f t="shared" si="7"/>
        <v>538.82000000000005</v>
      </c>
    </row>
    <row r="149" spans="1:7" s="85" customFormat="1" x14ac:dyDescent="0.2">
      <c r="A149" s="245" t="s">
        <v>146</v>
      </c>
      <c r="B149" s="240" t="s">
        <v>706</v>
      </c>
      <c r="C149" s="208" t="s">
        <v>707</v>
      </c>
      <c r="D149" s="283" t="s">
        <v>11</v>
      </c>
      <c r="E149" s="270">
        <v>1</v>
      </c>
      <c r="F149" s="241">
        <v>591.15</v>
      </c>
      <c r="G149" s="242">
        <f t="shared" si="7"/>
        <v>591.15</v>
      </c>
    </row>
    <row r="150" spans="1:7" s="85" customFormat="1" x14ac:dyDescent="0.2">
      <c r="A150" s="245" t="s">
        <v>147</v>
      </c>
      <c r="B150" s="240" t="s">
        <v>708</v>
      </c>
      <c r="C150" s="208" t="s">
        <v>709</v>
      </c>
      <c r="D150" s="283" t="s">
        <v>12</v>
      </c>
      <c r="E150" s="270">
        <v>68</v>
      </c>
      <c r="F150" s="241">
        <v>6.63</v>
      </c>
      <c r="G150" s="242">
        <f t="shared" si="7"/>
        <v>450.84</v>
      </c>
    </row>
    <row r="151" spans="1:7" x14ac:dyDescent="0.2">
      <c r="A151" s="245" t="s">
        <v>148</v>
      </c>
      <c r="B151" s="240" t="s">
        <v>710</v>
      </c>
      <c r="C151" s="208" t="s">
        <v>115</v>
      </c>
      <c r="D151" s="283" t="s">
        <v>11</v>
      </c>
      <c r="E151" s="270">
        <v>1</v>
      </c>
      <c r="F151" s="241">
        <v>55.32</v>
      </c>
      <c r="G151" s="242">
        <f t="shared" si="7"/>
        <v>55.32</v>
      </c>
    </row>
    <row r="152" spans="1:7" x14ac:dyDescent="0.2">
      <c r="A152" s="245" t="s">
        <v>149</v>
      </c>
      <c r="B152" s="240" t="s">
        <v>710</v>
      </c>
      <c r="C152" s="208" t="s">
        <v>47</v>
      </c>
      <c r="D152" s="283" t="s">
        <v>11</v>
      </c>
      <c r="E152" s="270">
        <v>2</v>
      </c>
      <c r="F152" s="241">
        <v>39.68</v>
      </c>
      <c r="G152" s="242">
        <f t="shared" si="7"/>
        <v>79.36</v>
      </c>
    </row>
    <row r="153" spans="1:7" x14ac:dyDescent="0.2">
      <c r="A153" s="245" t="s">
        <v>150</v>
      </c>
      <c r="B153" s="240" t="s">
        <v>710</v>
      </c>
      <c r="C153" s="208" t="s">
        <v>114</v>
      </c>
      <c r="D153" s="283" t="s">
        <v>11</v>
      </c>
      <c r="E153" s="270">
        <v>5</v>
      </c>
      <c r="F153" s="241">
        <v>15.24</v>
      </c>
      <c r="G153" s="242">
        <f t="shared" si="7"/>
        <v>76.2</v>
      </c>
    </row>
    <row r="154" spans="1:7" ht="39" x14ac:dyDescent="0.2">
      <c r="A154" s="245" t="s">
        <v>151</v>
      </c>
      <c r="B154" s="240">
        <v>91884</v>
      </c>
      <c r="C154" s="208" t="s">
        <v>711</v>
      </c>
      <c r="D154" s="283" t="s">
        <v>11</v>
      </c>
      <c r="E154" s="270">
        <v>10</v>
      </c>
      <c r="F154" s="241">
        <v>4.88</v>
      </c>
      <c r="G154" s="242">
        <f t="shared" si="7"/>
        <v>48.8</v>
      </c>
    </row>
    <row r="155" spans="1:7" ht="39" x14ac:dyDescent="0.2">
      <c r="A155" s="245" t="s">
        <v>152</v>
      </c>
      <c r="B155" s="240">
        <v>91885</v>
      </c>
      <c r="C155" s="208" t="s">
        <v>712</v>
      </c>
      <c r="D155" s="283" t="s">
        <v>11</v>
      </c>
      <c r="E155" s="270">
        <v>6</v>
      </c>
      <c r="F155" s="241">
        <v>5.72</v>
      </c>
      <c r="G155" s="242">
        <f t="shared" si="7"/>
        <v>34.32</v>
      </c>
    </row>
    <row r="156" spans="1:7" x14ac:dyDescent="0.2">
      <c r="A156" s="245" t="s">
        <v>153</v>
      </c>
      <c r="B156" s="240" t="s">
        <v>713</v>
      </c>
      <c r="C156" s="208" t="s">
        <v>714</v>
      </c>
      <c r="D156" s="283" t="s">
        <v>11</v>
      </c>
      <c r="E156" s="270">
        <v>8</v>
      </c>
      <c r="F156" s="241">
        <v>27.03</v>
      </c>
      <c r="G156" s="242">
        <f t="shared" si="7"/>
        <v>216.24</v>
      </c>
    </row>
    <row r="157" spans="1:7" x14ac:dyDescent="0.2">
      <c r="A157" s="245" t="s">
        <v>154</v>
      </c>
      <c r="B157" s="240" t="s">
        <v>710</v>
      </c>
      <c r="C157" s="208" t="s">
        <v>79</v>
      </c>
      <c r="D157" s="283" t="s">
        <v>11</v>
      </c>
      <c r="E157" s="270">
        <v>1</v>
      </c>
      <c r="F157" s="241">
        <v>21.85</v>
      </c>
      <c r="G157" s="242">
        <f t="shared" si="7"/>
        <v>21.85</v>
      </c>
    </row>
    <row r="158" spans="1:7" x14ac:dyDescent="0.2">
      <c r="A158" s="245" t="s">
        <v>155</v>
      </c>
      <c r="B158" s="240" t="s">
        <v>715</v>
      </c>
      <c r="C158" s="208" t="s">
        <v>716</v>
      </c>
      <c r="D158" s="283" t="s">
        <v>11</v>
      </c>
      <c r="E158" s="270">
        <v>48</v>
      </c>
      <c r="F158" s="241">
        <v>0.81</v>
      </c>
      <c r="G158" s="242">
        <f t="shared" si="7"/>
        <v>38.880000000000003</v>
      </c>
    </row>
    <row r="159" spans="1:7" x14ac:dyDescent="0.2">
      <c r="A159" s="245" t="s">
        <v>156</v>
      </c>
      <c r="B159" s="240" t="s">
        <v>717</v>
      </c>
      <c r="C159" s="208" t="s">
        <v>718</v>
      </c>
      <c r="D159" s="283" t="s">
        <v>11</v>
      </c>
      <c r="E159" s="270">
        <v>1</v>
      </c>
      <c r="F159" s="241">
        <v>70.64</v>
      </c>
      <c r="G159" s="242">
        <f t="shared" si="7"/>
        <v>70.64</v>
      </c>
    </row>
    <row r="160" spans="1:7" x14ac:dyDescent="0.2">
      <c r="A160" s="245" t="s">
        <v>157</v>
      </c>
      <c r="B160" s="240" t="s">
        <v>719</v>
      </c>
      <c r="C160" s="208" t="s">
        <v>720</v>
      </c>
      <c r="D160" s="283" t="s">
        <v>11</v>
      </c>
      <c r="E160" s="270">
        <v>1</v>
      </c>
      <c r="F160" s="241">
        <v>1915.39</v>
      </c>
      <c r="G160" s="242">
        <f t="shared" si="7"/>
        <v>1915.39</v>
      </c>
    </row>
    <row r="161" spans="1:7" x14ac:dyDescent="0.2">
      <c r="A161" s="245" t="s">
        <v>158</v>
      </c>
      <c r="B161" s="240" t="s">
        <v>721</v>
      </c>
      <c r="C161" s="208" t="s">
        <v>722</v>
      </c>
      <c r="D161" s="283" t="s">
        <v>11</v>
      </c>
      <c r="E161" s="270">
        <v>4</v>
      </c>
      <c r="F161" s="241">
        <v>71.63</v>
      </c>
      <c r="G161" s="242">
        <f t="shared" si="7"/>
        <v>286.52</v>
      </c>
    </row>
    <row r="162" spans="1:7" x14ac:dyDescent="0.2">
      <c r="A162" s="245" t="s">
        <v>159</v>
      </c>
      <c r="B162" s="240" t="s">
        <v>723</v>
      </c>
      <c r="C162" s="208" t="s">
        <v>724</v>
      </c>
      <c r="D162" s="283" t="s">
        <v>11</v>
      </c>
      <c r="E162" s="270">
        <v>2</v>
      </c>
      <c r="F162" s="241">
        <v>48.07</v>
      </c>
      <c r="G162" s="242">
        <f t="shared" si="7"/>
        <v>96.14</v>
      </c>
    </row>
    <row r="163" spans="1:7" s="71" customFormat="1" x14ac:dyDescent="0.2">
      <c r="A163" s="46" t="s">
        <v>208</v>
      </c>
      <c r="B163" s="47"/>
      <c r="C163" s="70" t="s">
        <v>5</v>
      </c>
      <c r="D163" s="48"/>
      <c r="E163" s="49"/>
      <c r="F163" s="231"/>
      <c r="G163" s="213">
        <f>ROUND(SUM(G164:G168),2)</f>
        <v>12470.74</v>
      </c>
    </row>
    <row r="164" spans="1:7" s="238" customFormat="1" x14ac:dyDescent="0.2">
      <c r="A164" s="281" t="s">
        <v>48</v>
      </c>
      <c r="B164" s="240">
        <v>88497</v>
      </c>
      <c r="C164" s="208" t="s">
        <v>606</v>
      </c>
      <c r="D164" s="247" t="s">
        <v>10</v>
      </c>
      <c r="E164" s="209">
        <f>Memória!F1244</f>
        <v>46.449400000000004</v>
      </c>
      <c r="F164" s="241">
        <v>8.5</v>
      </c>
      <c r="G164" s="242">
        <f>ROUND(F164*E164,2)</f>
        <v>394.82</v>
      </c>
    </row>
    <row r="165" spans="1:7" x14ac:dyDescent="0.2">
      <c r="A165" s="281" t="s">
        <v>54</v>
      </c>
      <c r="B165" s="31">
        <v>88486</v>
      </c>
      <c r="C165" s="74" t="str">
        <f>Memória!D1259</f>
        <v>APLICAÇÃO MANUAL DE PINTURA COM TINTA LÁTEX ACRÍLICA EM TETO, DUAS DEMÃOS.</v>
      </c>
      <c r="D165" s="36" t="s">
        <v>10</v>
      </c>
      <c r="E165" s="34">
        <f>Memória!F1259</f>
        <v>22.884999999999998</v>
      </c>
      <c r="F165" s="230">
        <v>10.42</v>
      </c>
      <c r="G165" s="229">
        <f>ROUND(F165*E165,2)</f>
        <v>238.46</v>
      </c>
    </row>
    <row r="166" spans="1:7" x14ac:dyDescent="0.2">
      <c r="A166" s="281" t="s">
        <v>55</v>
      </c>
      <c r="B166" s="31">
        <v>88496</v>
      </c>
      <c r="C166" s="32" t="s">
        <v>607</v>
      </c>
      <c r="D166" s="36" t="s">
        <v>10</v>
      </c>
      <c r="E166" s="34">
        <f>Memória!F1268</f>
        <v>22.884999999999998</v>
      </c>
      <c r="F166" s="230">
        <v>15.5</v>
      </c>
      <c r="G166" s="229">
        <f>ROUND(F166*E166,2)</f>
        <v>354.72</v>
      </c>
    </row>
    <row r="167" spans="1:7" x14ac:dyDescent="0.2">
      <c r="A167" s="281" t="s">
        <v>56</v>
      </c>
      <c r="B167" s="31">
        <v>88489</v>
      </c>
      <c r="C167" s="74" t="str">
        <f>Memória!D1277</f>
        <v>PINTURA LATEX ACRILICA AMBIENTES INTERNOS/EXTERNOS, DUAS DEMAOS</v>
      </c>
      <c r="D167" s="36" t="s">
        <v>10</v>
      </c>
      <c r="E167" s="34">
        <f>Memória!F1277</f>
        <v>41.294200000000011</v>
      </c>
      <c r="F167" s="230">
        <v>9.32</v>
      </c>
      <c r="G167" s="229">
        <f>ROUND(F167*E167,2)</f>
        <v>384.86</v>
      </c>
    </row>
    <row r="168" spans="1:7" s="243" customFormat="1" x14ac:dyDescent="0.2">
      <c r="A168" s="281" t="s">
        <v>112</v>
      </c>
      <c r="B168" s="240">
        <v>95468</v>
      </c>
      <c r="C168" s="208" t="str">
        <f>Memória!D1292</f>
        <v>PINTURA ESMALTE 2 DEMAOS C/1 DEMAO ZARCAO P/ESQUADRIA FERRO</v>
      </c>
      <c r="D168" s="247" t="s">
        <v>10</v>
      </c>
      <c r="E168" s="209">
        <f>Memória!F1292</f>
        <v>404</v>
      </c>
      <c r="F168" s="241">
        <v>27.47</v>
      </c>
      <c r="G168" s="242">
        <f>ROUND(F168*E168,2)</f>
        <v>11097.88</v>
      </c>
    </row>
    <row r="169" spans="1:7" s="71" customFormat="1" x14ac:dyDescent="0.2">
      <c r="A169" s="46" t="s">
        <v>209</v>
      </c>
      <c r="B169" s="47"/>
      <c r="C169" s="70" t="s">
        <v>7</v>
      </c>
      <c r="D169" s="48"/>
      <c r="E169" s="49"/>
      <c r="F169" s="231"/>
      <c r="G169" s="213">
        <f>ROUND(SUM(G170:G183),2)</f>
        <v>1325.09</v>
      </c>
    </row>
    <row r="170" spans="1:7" x14ac:dyDescent="0.2">
      <c r="A170" s="240" t="s">
        <v>57</v>
      </c>
      <c r="B170" s="31" t="s">
        <v>642</v>
      </c>
      <c r="C170" s="32" t="s">
        <v>641</v>
      </c>
      <c r="D170" s="31" t="s">
        <v>10</v>
      </c>
      <c r="E170" s="270">
        <v>0.35</v>
      </c>
      <c r="F170" s="241">
        <v>342.79</v>
      </c>
      <c r="G170" s="242">
        <f t="shared" ref="G170:G183" si="8">ROUND(F170*E170,2)</f>
        <v>119.98</v>
      </c>
    </row>
    <row r="171" spans="1:7" ht="39" x14ac:dyDescent="0.2">
      <c r="A171" s="240" t="s">
        <v>61</v>
      </c>
      <c r="B171" s="31" t="s">
        <v>643</v>
      </c>
      <c r="C171" s="32" t="s">
        <v>645</v>
      </c>
      <c r="D171" s="31" t="s">
        <v>11</v>
      </c>
      <c r="E171" s="270">
        <v>1</v>
      </c>
      <c r="F171" s="241">
        <f>'[3]COMPOSIÇÃO GERAL'!$E$2848</f>
        <v>39.700000000000003</v>
      </c>
      <c r="G171" s="242">
        <f t="shared" si="8"/>
        <v>39.700000000000003</v>
      </c>
    </row>
    <row r="172" spans="1:7" ht="39" x14ac:dyDescent="0.2">
      <c r="A172" s="240" t="s">
        <v>62</v>
      </c>
      <c r="B172" s="31">
        <v>86901</v>
      </c>
      <c r="C172" s="32" t="s">
        <v>541</v>
      </c>
      <c r="D172" s="31" t="s">
        <v>11</v>
      </c>
      <c r="E172" s="270">
        <v>1</v>
      </c>
      <c r="F172" s="241">
        <v>90.54</v>
      </c>
      <c r="G172" s="242">
        <f t="shared" si="8"/>
        <v>90.54</v>
      </c>
    </row>
    <row r="173" spans="1:7" x14ac:dyDescent="0.2">
      <c r="A173" s="240" t="s">
        <v>86</v>
      </c>
      <c r="B173" s="31" t="s">
        <v>545</v>
      </c>
      <c r="C173" s="32" t="s">
        <v>219</v>
      </c>
      <c r="D173" s="31" t="s">
        <v>11</v>
      </c>
      <c r="E173" s="270">
        <v>1</v>
      </c>
      <c r="F173" s="241">
        <v>2.52</v>
      </c>
      <c r="G173" s="242">
        <f t="shared" si="8"/>
        <v>2.52</v>
      </c>
    </row>
    <row r="174" spans="1:7" x14ac:dyDescent="0.2">
      <c r="A174" s="240" t="s">
        <v>90</v>
      </c>
      <c r="B174" s="31">
        <v>95544</v>
      </c>
      <c r="C174" s="32" t="s">
        <v>644</v>
      </c>
      <c r="D174" s="31" t="s">
        <v>11</v>
      </c>
      <c r="E174" s="270">
        <v>1</v>
      </c>
      <c r="F174" s="241">
        <v>21.37</v>
      </c>
      <c r="G174" s="242">
        <f t="shared" si="8"/>
        <v>21.37</v>
      </c>
    </row>
    <row r="175" spans="1:7" x14ac:dyDescent="0.2">
      <c r="A175" s="240" t="s">
        <v>160</v>
      </c>
      <c r="B175" s="31" t="s">
        <v>646</v>
      </c>
      <c r="C175" s="32" t="s">
        <v>647</v>
      </c>
      <c r="D175" s="31" t="s">
        <v>11</v>
      </c>
      <c r="E175" s="270">
        <v>1</v>
      </c>
      <c r="F175" s="241">
        <v>41.16</v>
      </c>
      <c r="G175" s="242">
        <f t="shared" si="8"/>
        <v>41.16</v>
      </c>
    </row>
    <row r="176" spans="1:7" x14ac:dyDescent="0.2">
      <c r="A176" s="240" t="s">
        <v>161</v>
      </c>
      <c r="B176" s="31" t="s">
        <v>648</v>
      </c>
      <c r="C176" s="32" t="s">
        <v>649</v>
      </c>
      <c r="D176" s="31" t="s">
        <v>11</v>
      </c>
      <c r="E176" s="270">
        <v>1</v>
      </c>
      <c r="F176" s="241">
        <v>34.39</v>
      </c>
      <c r="G176" s="242">
        <f t="shared" si="8"/>
        <v>34.39</v>
      </c>
    </row>
    <row r="177" spans="1:7" ht="19.5" customHeight="1" x14ac:dyDescent="0.2">
      <c r="A177" s="240" t="s">
        <v>162</v>
      </c>
      <c r="B177" s="31">
        <v>86882</v>
      </c>
      <c r="C177" s="32" t="s">
        <v>542</v>
      </c>
      <c r="D177" s="31" t="s">
        <v>11</v>
      </c>
      <c r="E177" s="270">
        <v>1</v>
      </c>
      <c r="F177" s="241">
        <v>14.44</v>
      </c>
      <c r="G177" s="242">
        <f t="shared" si="8"/>
        <v>14.44</v>
      </c>
    </row>
    <row r="178" spans="1:7" ht="39" x14ac:dyDescent="0.2">
      <c r="A178" s="240" t="s">
        <v>163</v>
      </c>
      <c r="B178" s="31" t="s">
        <v>650</v>
      </c>
      <c r="C178" s="32" t="s">
        <v>657</v>
      </c>
      <c r="D178" s="31" t="s">
        <v>11</v>
      </c>
      <c r="E178" s="270">
        <v>1</v>
      </c>
      <c r="F178" s="241">
        <v>249.55</v>
      </c>
      <c r="G178" s="242">
        <f t="shared" si="8"/>
        <v>249.55</v>
      </c>
    </row>
    <row r="179" spans="1:7" x14ac:dyDescent="0.2">
      <c r="A179" s="240" t="s">
        <v>164</v>
      </c>
      <c r="B179" s="31" t="s">
        <v>651</v>
      </c>
      <c r="C179" s="32" t="s">
        <v>658</v>
      </c>
      <c r="D179" s="31" t="s">
        <v>11</v>
      </c>
      <c r="E179" s="270">
        <v>1</v>
      </c>
      <c r="F179" s="241">
        <v>4.4000000000000004</v>
      </c>
      <c r="G179" s="242">
        <f t="shared" si="8"/>
        <v>4.4000000000000004</v>
      </c>
    </row>
    <row r="180" spans="1:7" ht="39" x14ac:dyDescent="0.2">
      <c r="A180" s="240" t="s">
        <v>165</v>
      </c>
      <c r="B180" s="31">
        <v>40729</v>
      </c>
      <c r="C180" s="32" t="s">
        <v>652</v>
      </c>
      <c r="D180" s="31" t="s">
        <v>11</v>
      </c>
      <c r="E180" s="270">
        <v>1</v>
      </c>
      <c r="F180" s="241">
        <v>223.51</v>
      </c>
      <c r="G180" s="242">
        <f t="shared" si="8"/>
        <v>223.51</v>
      </c>
    </row>
    <row r="181" spans="1:7" x14ac:dyDescent="0.2">
      <c r="A181" s="240" t="s">
        <v>166</v>
      </c>
      <c r="B181" s="31" t="s">
        <v>654</v>
      </c>
      <c r="C181" s="32" t="s">
        <v>653</v>
      </c>
      <c r="D181" s="31" t="s">
        <v>11</v>
      </c>
      <c r="E181" s="270">
        <v>1</v>
      </c>
      <c r="F181" s="241">
        <v>177.55</v>
      </c>
      <c r="G181" s="242">
        <f t="shared" si="8"/>
        <v>177.55</v>
      </c>
    </row>
    <row r="182" spans="1:7" ht="39" x14ac:dyDescent="0.2">
      <c r="A182" s="240" t="s">
        <v>179</v>
      </c>
      <c r="B182" s="31">
        <v>86888</v>
      </c>
      <c r="C182" s="32" t="s">
        <v>543</v>
      </c>
      <c r="D182" s="31" t="s">
        <v>11</v>
      </c>
      <c r="E182" s="270">
        <v>1</v>
      </c>
      <c r="F182" s="241">
        <v>291.66000000000003</v>
      </c>
      <c r="G182" s="242">
        <f t="shared" si="8"/>
        <v>291.66000000000003</v>
      </c>
    </row>
    <row r="183" spans="1:7" x14ac:dyDescent="0.2">
      <c r="A183" s="240" t="s">
        <v>180</v>
      </c>
      <c r="B183" s="31" t="s">
        <v>655</v>
      </c>
      <c r="C183" s="32" t="s">
        <v>656</v>
      </c>
      <c r="D183" s="31" t="s">
        <v>11</v>
      </c>
      <c r="E183" s="270">
        <v>1</v>
      </c>
      <c r="F183" s="241">
        <v>14.32</v>
      </c>
      <c r="G183" s="242">
        <f t="shared" si="8"/>
        <v>14.32</v>
      </c>
    </row>
    <row r="184" spans="1:7" s="71" customFormat="1" x14ac:dyDescent="0.2">
      <c r="A184" s="51" t="s">
        <v>210</v>
      </c>
      <c r="B184" s="52"/>
      <c r="C184" s="73" t="s">
        <v>25</v>
      </c>
      <c r="D184" s="53"/>
      <c r="E184" s="49"/>
      <c r="F184" s="231"/>
      <c r="G184" s="233">
        <f>ROUND(SUM(G185:G188),2)</f>
        <v>8434.0300000000007</v>
      </c>
    </row>
    <row r="185" spans="1:7" s="238" customFormat="1" ht="39" x14ac:dyDescent="0.2">
      <c r="A185" s="245" t="s">
        <v>60</v>
      </c>
      <c r="B185" s="240" t="s">
        <v>664</v>
      </c>
      <c r="C185" s="208" t="str">
        <f>Memória!D1408</f>
        <v>KIT MOTOR DE PORTÃO ELETRÔNICO DZ4 SK TURBO - ROSSI Kit Motor 1/3HP TURBO SUPORTA PORTÕES DE ATÉ 800 Kg - ALTO FLUXO OU EQUIVALENTE, INSTALAÇÃO E FORNECIMENTO</v>
      </c>
      <c r="D185" s="223" t="s">
        <v>11</v>
      </c>
      <c r="E185" s="270">
        <f>Memória!F1408</f>
        <v>2</v>
      </c>
      <c r="F185" s="241">
        <v>462.66</v>
      </c>
      <c r="G185" s="242">
        <f t="shared" ref="G185:G188" si="9">ROUND(F185*E185,2)</f>
        <v>925.32</v>
      </c>
    </row>
    <row r="186" spans="1:7" s="238" customFormat="1" ht="58.5" x14ac:dyDescent="0.2">
      <c r="A186" s="245" t="s">
        <v>113</v>
      </c>
      <c r="B186" s="240" t="str">
        <f>Memória!C1414</f>
        <v>07289/ORSE</v>
      </c>
      <c r="C186" s="208" t="str">
        <f>Memória!D1414</f>
        <v>FORNECIMENTO E INSTALAÇÃO DE TUBULAÇÃO EM COBRE P/ INTERLIGAÇÃO DO CONDENSADOR AO EVAPORADOR, INCLUSIVE ISOLAMENTO, ALIMENTAÇÃO ELÉTRICA, CONEXÕES E FIXAÇÕES, P/ CONDICIONADORES DE AR SPLIT SUSTEM ATÉ 48.000 BTU.</v>
      </c>
      <c r="D186" s="223" t="s">
        <v>11</v>
      </c>
      <c r="E186" s="270">
        <f>Memória!F1414</f>
        <v>1</v>
      </c>
      <c r="F186" s="241">
        <v>131.57</v>
      </c>
      <c r="G186" s="242">
        <f t="shared" si="9"/>
        <v>131.57</v>
      </c>
    </row>
    <row r="187" spans="1:7" x14ac:dyDescent="0.2">
      <c r="A187" s="245" t="s">
        <v>435</v>
      </c>
      <c r="B187" s="31" t="str">
        <f>Memória!C1420</f>
        <v>73976/011</v>
      </c>
      <c r="C187" s="32" t="str">
        <f>Memória!D1420</f>
        <v xml:space="preserve"> TUBO DE AÇO GALVANIZADO COM COSTURA 6" (150MM), INCLUSIVE CONEXÕES - INSTALAÇÃO</v>
      </c>
      <c r="D187" s="33" t="s">
        <v>12</v>
      </c>
      <c r="E187" s="37">
        <f>Memória!F1420</f>
        <v>30</v>
      </c>
      <c r="F187" s="230">
        <v>236.48</v>
      </c>
      <c r="G187" s="229">
        <f t="shared" si="9"/>
        <v>7094.4</v>
      </c>
    </row>
    <row r="188" spans="1:7" x14ac:dyDescent="0.2">
      <c r="A188" s="245" t="s">
        <v>382</v>
      </c>
      <c r="B188" s="31">
        <f>Memória!C1433</f>
        <v>9537</v>
      </c>
      <c r="C188" s="32" t="str">
        <f>Memória!D1433</f>
        <v>LIMPEZA GERAL DA OBRA</v>
      </c>
      <c r="D188" s="33" t="str">
        <f>Memória!E1433</f>
        <v>m²</v>
      </c>
      <c r="E188" s="37">
        <f>Memória!F1433</f>
        <v>154.5</v>
      </c>
      <c r="F188" s="230">
        <v>1.83</v>
      </c>
      <c r="G188" s="229">
        <f t="shared" si="9"/>
        <v>282.74</v>
      </c>
    </row>
    <row r="189" spans="1:7" s="64" customFormat="1" x14ac:dyDescent="0.2">
      <c r="A189" s="51"/>
      <c r="B189" s="52"/>
      <c r="C189" s="73" t="s">
        <v>23</v>
      </c>
      <c r="D189" s="73"/>
      <c r="E189" s="75"/>
      <c r="F189" s="234"/>
      <c r="G189" s="235">
        <f>ROUND(SUM(G9:G188),2)/2</f>
        <v>231840.34</v>
      </c>
    </row>
    <row r="190" spans="1:7" s="64" customFormat="1" x14ac:dyDescent="0.2">
      <c r="A190" s="51"/>
      <c r="B190" s="52"/>
      <c r="C190" s="73" t="s">
        <v>727</v>
      </c>
      <c r="D190" s="73"/>
      <c r="E190" s="75"/>
      <c r="F190" s="234"/>
      <c r="G190" s="235">
        <f>G189*0.2617</f>
        <v>60672.616977999998</v>
      </c>
    </row>
    <row r="191" spans="1:7" s="64" customFormat="1" ht="20.25" thickBot="1" x14ac:dyDescent="0.25">
      <c r="A191" s="59"/>
      <c r="B191" s="60"/>
      <c r="C191" s="76" t="s">
        <v>24</v>
      </c>
      <c r="D191" s="76"/>
      <c r="E191" s="77"/>
      <c r="F191" s="236"/>
      <c r="G191" s="237">
        <f>SUM(G189:G190)</f>
        <v>292512.956978</v>
      </c>
    </row>
    <row r="194" spans="1:7" x14ac:dyDescent="0.2">
      <c r="A194" s="311"/>
      <c r="B194" s="311"/>
      <c r="C194" s="311"/>
      <c r="D194" s="311"/>
      <c r="E194" s="311"/>
      <c r="F194" s="311"/>
    </row>
    <row r="195" spans="1:7" x14ac:dyDescent="0.2">
      <c r="A195" s="311"/>
      <c r="B195" s="311"/>
      <c r="C195" s="311"/>
      <c r="D195" s="311"/>
      <c r="E195" s="311"/>
      <c r="F195" s="311"/>
    </row>
    <row r="196" spans="1:7" x14ac:dyDescent="0.2">
      <c r="A196" s="311"/>
      <c r="B196" s="311"/>
      <c r="C196" s="311"/>
      <c r="D196" s="311"/>
      <c r="E196" s="311"/>
      <c r="F196" s="311"/>
      <c r="G196" s="78"/>
    </row>
    <row r="197" spans="1:7" x14ac:dyDescent="0.2">
      <c r="A197" s="311"/>
      <c r="B197" s="311"/>
      <c r="C197" s="311"/>
      <c r="D197" s="311"/>
      <c r="E197" s="311"/>
      <c r="F197" s="311"/>
    </row>
    <row r="198" spans="1:7" x14ac:dyDescent="0.2">
      <c r="A198" s="311"/>
      <c r="B198" s="311"/>
      <c r="C198" s="311"/>
      <c r="D198" s="311"/>
      <c r="E198" s="311"/>
      <c r="F198" s="311"/>
    </row>
    <row r="199" spans="1:7" x14ac:dyDescent="0.2">
      <c r="A199" s="311"/>
      <c r="B199" s="311"/>
      <c r="C199" s="311"/>
      <c r="D199" s="311"/>
      <c r="E199" s="311"/>
      <c r="F199" s="311"/>
    </row>
    <row r="200" spans="1:7" x14ac:dyDescent="0.2">
      <c r="A200" s="311"/>
      <c r="B200" s="311"/>
      <c r="C200" s="311"/>
      <c r="D200" s="311"/>
      <c r="E200" s="311"/>
      <c r="F200" s="311"/>
    </row>
  </sheetData>
  <autoFilter ref="A7:G8"/>
  <mergeCells count="17">
    <mergeCell ref="F6:G6"/>
    <mergeCell ref="A7:A8"/>
    <mergeCell ref="A5:G5"/>
    <mergeCell ref="G7:G8"/>
    <mergeCell ref="A6:C6"/>
    <mergeCell ref="F7:F8"/>
    <mergeCell ref="D7:D8"/>
    <mergeCell ref="B7:B8"/>
    <mergeCell ref="E7:E8"/>
    <mergeCell ref="C7:C8"/>
    <mergeCell ref="A200:F200"/>
    <mergeCell ref="A194:F194"/>
    <mergeCell ref="A195:F195"/>
    <mergeCell ref="A196:F196"/>
    <mergeCell ref="A197:F197"/>
    <mergeCell ref="A198:F198"/>
    <mergeCell ref="A199:F199"/>
  </mergeCells>
  <phoneticPr fontId="5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40" fitToHeight="0" orientation="portrait" r:id="rId1"/>
  <headerFooter alignWithMargins="0">
    <oddFooter>&amp;C&amp;8Página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435"/>
  <sheetViews>
    <sheetView tabSelected="1" topLeftCell="A1318" workbookViewId="0">
      <selection activeCell="J1436" sqref="A1:J1436"/>
    </sheetView>
  </sheetViews>
  <sheetFormatPr defaultRowHeight="12.75" x14ac:dyDescent="0.2"/>
  <cols>
    <col min="1" max="1" width="9.7109375" bestFit="1" customWidth="1"/>
    <col min="2" max="2" width="12.42578125" bestFit="1" customWidth="1"/>
    <col min="3" max="3" width="13.28515625" bestFit="1" customWidth="1"/>
    <col min="4" max="4" width="51" customWidth="1"/>
    <col min="5" max="5" width="10.5703125" customWidth="1"/>
    <col min="6" max="6" width="10.42578125" bestFit="1" customWidth="1"/>
    <col min="7" max="7" width="9.7109375" bestFit="1" customWidth="1"/>
    <col min="8" max="8" width="10.28515625" bestFit="1" customWidth="1"/>
    <col min="9" max="9" width="11.42578125" bestFit="1" customWidth="1"/>
  </cols>
  <sheetData>
    <row r="1" spans="2:10" ht="12.75" customHeight="1" x14ac:dyDescent="0.2">
      <c r="B1" s="410"/>
      <c r="C1" s="413" t="s">
        <v>222</v>
      </c>
      <c r="D1" s="414"/>
      <c r="E1" s="419" t="s">
        <v>223</v>
      </c>
      <c r="F1" s="421" t="s">
        <v>230</v>
      </c>
      <c r="G1" s="422"/>
      <c r="H1" s="422"/>
      <c r="I1" s="423"/>
    </row>
    <row r="2" spans="2:10" x14ac:dyDescent="0.2">
      <c r="B2" s="411"/>
      <c r="C2" s="415"/>
      <c r="D2" s="416"/>
      <c r="E2" s="420"/>
      <c r="F2" s="424"/>
      <c r="G2" s="425"/>
      <c r="H2" s="425"/>
      <c r="I2" s="426"/>
    </row>
    <row r="3" spans="2:10" x14ac:dyDescent="0.2">
      <c r="B3" s="411"/>
      <c r="C3" s="417"/>
      <c r="D3" s="418"/>
      <c r="E3" s="122" t="s">
        <v>224</v>
      </c>
      <c r="F3" s="427" t="s">
        <v>228</v>
      </c>
      <c r="G3" s="428"/>
      <c r="H3" s="428"/>
      <c r="I3" s="429"/>
    </row>
    <row r="4" spans="2:10" ht="13.5" customHeight="1" thickBot="1" x14ac:dyDescent="0.25">
      <c r="B4" s="412"/>
      <c r="C4" s="430" t="s">
        <v>225</v>
      </c>
      <c r="D4" s="431"/>
      <c r="E4" s="123" t="s">
        <v>226</v>
      </c>
      <c r="F4" s="432" t="s">
        <v>229</v>
      </c>
      <c r="G4" s="433"/>
      <c r="H4" s="433"/>
      <c r="I4" s="434"/>
    </row>
    <row r="5" spans="2:10" ht="13.5" thickBot="1" x14ac:dyDescent="0.25">
      <c r="B5" s="124"/>
      <c r="C5" s="124"/>
      <c r="D5" s="124"/>
      <c r="E5" s="124"/>
      <c r="F5" s="124"/>
      <c r="G5" s="124"/>
      <c r="H5" s="124"/>
      <c r="I5" s="125"/>
    </row>
    <row r="6" spans="2:10" ht="16.5" thickBot="1" x14ac:dyDescent="0.3">
      <c r="B6" s="435" t="s">
        <v>227</v>
      </c>
      <c r="C6" s="436"/>
      <c r="D6" s="436"/>
      <c r="E6" s="436"/>
      <c r="F6" s="436"/>
      <c r="G6" s="436"/>
      <c r="H6" s="436"/>
      <c r="I6" s="437"/>
    </row>
    <row r="7" spans="2:10" ht="13.5" thickBot="1" x14ac:dyDescent="0.25">
      <c r="B7" s="126"/>
      <c r="C7" s="127"/>
      <c r="D7" s="126"/>
      <c r="E7" s="126"/>
      <c r="F7" s="126"/>
      <c r="G7" s="126"/>
      <c r="H7" s="126"/>
      <c r="I7" s="127"/>
    </row>
    <row r="8" spans="2:10" ht="15.75" customHeight="1" thickBot="1" x14ac:dyDescent="0.25">
      <c r="B8" s="139">
        <v>1</v>
      </c>
      <c r="C8" s="384" t="s">
        <v>187</v>
      </c>
      <c r="D8" s="384"/>
      <c r="E8" s="384"/>
      <c r="F8" s="384"/>
      <c r="G8" s="384"/>
      <c r="H8" s="384"/>
      <c r="I8" s="384"/>
    </row>
    <row r="9" spans="2:10" x14ac:dyDescent="0.2">
      <c r="B9" s="128"/>
      <c r="C9" s="129"/>
      <c r="D9" s="130"/>
      <c r="E9" s="130"/>
      <c r="F9" s="130"/>
      <c r="G9" s="130"/>
      <c r="H9" s="130"/>
      <c r="I9" s="130"/>
    </row>
    <row r="10" spans="2:10" ht="13.5" thickBot="1" x14ac:dyDescent="0.25">
      <c r="B10" s="128"/>
      <c r="C10" s="129"/>
      <c r="D10" s="130"/>
      <c r="E10" s="130"/>
      <c r="F10" s="130"/>
      <c r="G10" s="130"/>
      <c r="H10" s="130"/>
      <c r="I10" s="130"/>
    </row>
    <row r="11" spans="2:10" ht="12.75" customHeight="1" thickBot="1" x14ac:dyDescent="0.25">
      <c r="B11" s="345" t="s">
        <v>0</v>
      </c>
      <c r="C11" s="345" t="s">
        <v>9</v>
      </c>
      <c r="D11" s="345" t="s">
        <v>1</v>
      </c>
      <c r="E11" s="345" t="s">
        <v>189</v>
      </c>
      <c r="F11" s="345" t="s">
        <v>8</v>
      </c>
      <c r="G11" s="130"/>
      <c r="H11" s="130"/>
      <c r="I11" s="130"/>
    </row>
    <row r="12" spans="2:10" ht="12.75" customHeight="1" thickBot="1" x14ac:dyDescent="0.25">
      <c r="B12" s="345"/>
      <c r="C12" s="345"/>
      <c r="D12" s="345"/>
      <c r="E12" s="345"/>
      <c r="F12" s="345"/>
      <c r="G12" s="130"/>
      <c r="H12" s="130"/>
      <c r="I12" s="130"/>
    </row>
    <row r="13" spans="2:10" ht="36.75" thickBot="1" x14ac:dyDescent="0.25">
      <c r="B13" s="140" t="s">
        <v>2</v>
      </c>
      <c r="C13" s="140" t="s">
        <v>556</v>
      </c>
      <c r="D13" s="135" t="s">
        <v>557</v>
      </c>
      <c r="E13" s="133" t="s">
        <v>10</v>
      </c>
      <c r="F13" s="134">
        <f>F15</f>
        <v>73</v>
      </c>
      <c r="G13" s="130"/>
      <c r="H13" s="130"/>
      <c r="I13" s="130"/>
      <c r="J13" t="s">
        <v>558</v>
      </c>
    </row>
    <row r="14" spans="2:10" ht="13.5" thickBot="1" x14ac:dyDescent="0.25">
      <c r="B14" s="132" t="s">
        <v>234</v>
      </c>
      <c r="C14" s="136" t="s">
        <v>314</v>
      </c>
      <c r="D14" s="136" t="s">
        <v>255</v>
      </c>
      <c r="E14" s="136" t="s">
        <v>315</v>
      </c>
      <c r="F14" s="136" t="s">
        <v>300</v>
      </c>
      <c r="G14" s="375" t="s">
        <v>235</v>
      </c>
      <c r="H14" s="376"/>
      <c r="I14" s="377"/>
    </row>
    <row r="15" spans="2:10" ht="13.5" thickBot="1" x14ac:dyDescent="0.25">
      <c r="B15" s="141"/>
      <c r="C15" s="163"/>
      <c r="D15" s="163">
        <v>7.3</v>
      </c>
      <c r="E15" s="163">
        <v>10</v>
      </c>
      <c r="F15" s="163">
        <f>D15*E15</f>
        <v>73</v>
      </c>
      <c r="G15" s="394"/>
      <c r="H15" s="395"/>
      <c r="I15" s="396"/>
    </row>
    <row r="16" spans="2:10" x14ac:dyDescent="0.2">
      <c r="B16" s="131"/>
      <c r="C16" s="131"/>
      <c r="D16" s="131"/>
      <c r="E16" s="131"/>
      <c r="F16" s="131"/>
      <c r="G16" s="130"/>
      <c r="H16" s="130"/>
      <c r="I16" s="130"/>
    </row>
    <row r="17" spans="2:9" ht="13.5" thickBot="1" x14ac:dyDescent="0.25">
      <c r="B17" s="131"/>
      <c r="C17" s="131"/>
      <c r="D17" s="131"/>
      <c r="E17" s="131"/>
      <c r="F17" s="131"/>
      <c r="G17" s="130"/>
      <c r="H17" s="130"/>
      <c r="I17" s="130"/>
    </row>
    <row r="18" spans="2:9" ht="15.75" customHeight="1" thickBot="1" x14ac:dyDescent="0.25">
      <c r="B18" s="139">
        <v>2</v>
      </c>
      <c r="C18" s="384" t="s">
        <v>232</v>
      </c>
      <c r="D18" s="384"/>
      <c r="E18" s="384"/>
      <c r="F18" s="384"/>
      <c r="G18" s="384"/>
      <c r="H18" s="384"/>
      <c r="I18" s="384"/>
    </row>
    <row r="19" spans="2:9" x14ac:dyDescent="0.2">
      <c r="B19" s="131"/>
      <c r="C19" s="131"/>
      <c r="D19" s="131"/>
      <c r="E19" s="131"/>
      <c r="F19" s="131"/>
      <c r="G19" s="130"/>
      <c r="H19" s="130"/>
      <c r="I19" s="130"/>
    </row>
    <row r="20" spans="2:9" ht="13.5" thickBot="1" x14ac:dyDescent="0.25">
      <c r="B20" s="131"/>
      <c r="C20" s="131"/>
      <c r="D20" s="131"/>
      <c r="E20" s="131"/>
      <c r="F20" s="131"/>
      <c r="G20" s="130"/>
      <c r="H20" s="130"/>
      <c r="I20" s="130"/>
    </row>
    <row r="21" spans="2:9" ht="13.5" thickBot="1" x14ac:dyDescent="0.25">
      <c r="B21" s="345" t="s">
        <v>0</v>
      </c>
      <c r="C21" s="345" t="s">
        <v>9</v>
      </c>
      <c r="D21" s="345" t="s">
        <v>1</v>
      </c>
      <c r="E21" s="345" t="s">
        <v>189</v>
      </c>
      <c r="F21" s="345" t="s">
        <v>8</v>
      </c>
      <c r="G21" s="142"/>
      <c r="H21" s="142"/>
      <c r="I21" s="142"/>
    </row>
    <row r="22" spans="2:9" ht="13.5" thickBot="1" x14ac:dyDescent="0.25">
      <c r="B22" s="345"/>
      <c r="C22" s="345"/>
      <c r="D22" s="345"/>
      <c r="E22" s="345"/>
      <c r="F22" s="345"/>
      <c r="G22" s="142"/>
      <c r="H22" s="142"/>
      <c r="I22" s="142"/>
    </row>
    <row r="23" spans="2:9" ht="72.75" thickBot="1" x14ac:dyDescent="0.25">
      <c r="B23" s="140" t="s">
        <v>98</v>
      </c>
      <c r="C23" s="140">
        <v>90091</v>
      </c>
      <c r="D23" s="135" t="s">
        <v>616</v>
      </c>
      <c r="E23" s="133" t="s">
        <v>58</v>
      </c>
      <c r="F23" s="134">
        <f>SUM(F26:F30)+SUM(F33:F34)</f>
        <v>35.899959999999993</v>
      </c>
      <c r="G23" s="142" t="s">
        <v>558</v>
      </c>
      <c r="H23" s="142"/>
      <c r="I23" s="142"/>
    </row>
    <row r="24" spans="2:9" ht="13.5" thickBot="1" x14ac:dyDescent="0.25">
      <c r="B24" s="338" t="s">
        <v>306</v>
      </c>
      <c r="C24" s="339"/>
      <c r="D24" s="339"/>
      <c r="E24" s="339"/>
      <c r="F24" s="339"/>
      <c r="G24" s="339"/>
      <c r="H24" s="339"/>
      <c r="I24" s="340"/>
    </row>
    <row r="25" spans="2:9" ht="13.5" thickBot="1" x14ac:dyDescent="0.25">
      <c r="B25" s="148" t="s">
        <v>234</v>
      </c>
      <c r="C25" s="162" t="s">
        <v>314</v>
      </c>
      <c r="D25" s="162" t="s">
        <v>255</v>
      </c>
      <c r="E25" s="162" t="s">
        <v>315</v>
      </c>
      <c r="F25" s="162" t="s">
        <v>300</v>
      </c>
      <c r="G25" s="361" t="s">
        <v>235</v>
      </c>
      <c r="H25" s="362"/>
      <c r="I25" s="363"/>
    </row>
    <row r="26" spans="2:9" ht="13.5" thickBot="1" x14ac:dyDescent="0.25">
      <c r="B26" s="158">
        <v>8</v>
      </c>
      <c r="C26" s="163">
        <v>0.8</v>
      </c>
      <c r="D26" s="163">
        <v>1.4</v>
      </c>
      <c r="E26" s="163">
        <v>1.4</v>
      </c>
      <c r="F26" s="163">
        <f>B26*C26*D26*E26</f>
        <v>12.543999999999999</v>
      </c>
      <c r="G26" s="361" t="s">
        <v>236</v>
      </c>
      <c r="H26" s="362"/>
      <c r="I26" s="363"/>
    </row>
    <row r="27" spans="2:9" ht="13.5" thickBot="1" x14ac:dyDescent="0.25">
      <c r="B27" s="158">
        <v>4</v>
      </c>
      <c r="C27" s="163">
        <v>0.8</v>
      </c>
      <c r="D27" s="163">
        <v>1.6</v>
      </c>
      <c r="E27" s="163">
        <v>0.6</v>
      </c>
      <c r="F27" s="163">
        <f>B27*C27*D27*E27</f>
        <v>3.0720000000000005</v>
      </c>
      <c r="G27" s="361" t="s">
        <v>237</v>
      </c>
      <c r="H27" s="362"/>
      <c r="I27" s="363"/>
    </row>
    <row r="28" spans="2:9" ht="13.5" thickBot="1" x14ac:dyDescent="0.25">
      <c r="B28" s="158">
        <v>4</v>
      </c>
      <c r="C28" s="163">
        <v>0.8</v>
      </c>
      <c r="D28" s="163">
        <v>1.05</v>
      </c>
      <c r="E28" s="163">
        <v>0.6</v>
      </c>
      <c r="F28" s="163">
        <f>B28*C28*D28*E28</f>
        <v>2.016</v>
      </c>
      <c r="G28" s="361" t="s">
        <v>238</v>
      </c>
      <c r="H28" s="362"/>
      <c r="I28" s="363"/>
    </row>
    <row r="29" spans="2:9" ht="13.5" thickBot="1" x14ac:dyDescent="0.25">
      <c r="B29" s="158">
        <v>2</v>
      </c>
      <c r="C29" s="163">
        <v>0.8</v>
      </c>
      <c r="D29" s="163">
        <v>2.75</v>
      </c>
      <c r="E29" s="163">
        <v>0.6</v>
      </c>
      <c r="F29" s="163">
        <f>B29*C29*D29*E29</f>
        <v>2.64</v>
      </c>
      <c r="G29" s="361" t="s">
        <v>239</v>
      </c>
      <c r="H29" s="362"/>
      <c r="I29" s="363"/>
    </row>
    <row r="30" spans="2:9" ht="13.5" thickBot="1" x14ac:dyDescent="0.25">
      <c r="B30" s="158">
        <v>1</v>
      </c>
      <c r="C30" s="163">
        <v>0.8</v>
      </c>
      <c r="D30" s="163">
        <f>1.8*3.14</f>
        <v>5.6520000000000001</v>
      </c>
      <c r="E30" s="163">
        <v>0.6</v>
      </c>
      <c r="F30" s="163">
        <f>B30*C30*D30*E30</f>
        <v>2.7129600000000003</v>
      </c>
      <c r="G30" s="361" t="s">
        <v>240</v>
      </c>
      <c r="H30" s="362"/>
      <c r="I30" s="363"/>
    </row>
    <row r="31" spans="2:9" ht="13.5" thickBot="1" x14ac:dyDescent="0.25">
      <c r="B31" s="338" t="s">
        <v>306</v>
      </c>
      <c r="C31" s="339"/>
      <c r="D31" s="339"/>
      <c r="E31" s="339"/>
      <c r="F31" s="339"/>
      <c r="G31" s="339"/>
      <c r="H31" s="339"/>
      <c r="I31" s="340"/>
    </row>
    <row r="32" spans="2:9" ht="13.5" thickBot="1" x14ac:dyDescent="0.25">
      <c r="B32" s="148" t="s">
        <v>234</v>
      </c>
      <c r="C32" s="162" t="s">
        <v>314</v>
      </c>
      <c r="D32" s="162" t="s">
        <v>255</v>
      </c>
      <c r="E32" s="162" t="s">
        <v>315</v>
      </c>
      <c r="F32" s="162" t="s">
        <v>300</v>
      </c>
      <c r="G32" s="361" t="s">
        <v>235</v>
      </c>
      <c r="H32" s="362"/>
      <c r="I32" s="363"/>
    </row>
    <row r="33" spans="2:9" ht="13.5" thickBot="1" x14ac:dyDescent="0.25">
      <c r="B33" s="158">
        <v>1</v>
      </c>
      <c r="C33" s="163">
        <v>0.75</v>
      </c>
      <c r="D33" s="163">
        <v>4.0999999999999996</v>
      </c>
      <c r="E33" s="163">
        <v>2.1</v>
      </c>
      <c r="F33" s="163">
        <f>B33*C33*D33*E33</f>
        <v>6.4574999999999996</v>
      </c>
      <c r="G33" s="361" t="s">
        <v>307</v>
      </c>
      <c r="H33" s="362"/>
      <c r="I33" s="363"/>
    </row>
    <row r="34" spans="2:9" ht="13.5" thickBot="1" x14ac:dyDescent="0.25">
      <c r="B34" s="158">
        <v>1</v>
      </c>
      <c r="C34" s="163">
        <v>0.75</v>
      </c>
      <c r="D34" s="163">
        <v>4.0999999999999996</v>
      </c>
      <c r="E34" s="163">
        <v>2.1</v>
      </c>
      <c r="F34" s="163">
        <f>B34*C34*D34*E34</f>
        <v>6.4574999999999996</v>
      </c>
      <c r="G34" s="361" t="s">
        <v>308</v>
      </c>
      <c r="H34" s="362"/>
      <c r="I34" s="363"/>
    </row>
    <row r="35" spans="2:9" ht="13.5" thickBot="1" x14ac:dyDescent="0.25">
      <c r="B35" s="131"/>
      <c r="C35" s="131"/>
      <c r="D35" s="131"/>
      <c r="E35" s="131"/>
      <c r="F35" s="131"/>
      <c r="G35" s="130"/>
      <c r="H35" s="130"/>
      <c r="I35" s="130"/>
    </row>
    <row r="36" spans="2:9" ht="13.5" thickBot="1" x14ac:dyDescent="0.25">
      <c r="B36" s="345" t="s">
        <v>0</v>
      </c>
      <c r="C36" s="345" t="s">
        <v>9</v>
      </c>
      <c r="D36" s="345" t="s">
        <v>1</v>
      </c>
      <c r="E36" s="345" t="s">
        <v>189</v>
      </c>
      <c r="F36" s="345" t="s">
        <v>8</v>
      </c>
      <c r="G36" s="142"/>
      <c r="H36" s="142"/>
      <c r="I36" s="142"/>
    </row>
    <row r="37" spans="2:9" ht="13.5" thickBot="1" x14ac:dyDescent="0.25">
      <c r="B37" s="345"/>
      <c r="C37" s="345"/>
      <c r="D37" s="345"/>
      <c r="E37" s="345"/>
      <c r="F37" s="345"/>
      <c r="G37" s="142"/>
      <c r="H37" s="142"/>
      <c r="I37" s="142"/>
    </row>
    <row r="38" spans="2:9" ht="72.75" thickBot="1" x14ac:dyDescent="0.25">
      <c r="B38" s="140" t="s">
        <v>99</v>
      </c>
      <c r="C38" s="140">
        <v>90092</v>
      </c>
      <c r="D38" s="135" t="s">
        <v>617</v>
      </c>
      <c r="E38" s="133" t="s">
        <v>58</v>
      </c>
      <c r="F38" s="134">
        <f>SUM(F41:F45)+SUM(F48:F49)</f>
        <v>18.380479999999995</v>
      </c>
      <c r="G38" s="142" t="s">
        <v>558</v>
      </c>
      <c r="H38" s="142"/>
      <c r="I38" s="142"/>
    </row>
    <row r="39" spans="2:9" ht="13.5" thickBot="1" x14ac:dyDescent="0.25">
      <c r="B39" s="338" t="s">
        <v>306</v>
      </c>
      <c r="C39" s="339"/>
      <c r="D39" s="339"/>
      <c r="E39" s="339"/>
      <c r="F39" s="339"/>
      <c r="G39" s="339"/>
      <c r="H39" s="339"/>
      <c r="I39" s="340"/>
    </row>
    <row r="40" spans="2:9" ht="13.5" thickBot="1" x14ac:dyDescent="0.25">
      <c r="B40" s="251" t="s">
        <v>234</v>
      </c>
      <c r="C40" s="250" t="s">
        <v>314</v>
      </c>
      <c r="D40" s="250" t="s">
        <v>255</v>
      </c>
      <c r="E40" s="250" t="s">
        <v>315</v>
      </c>
      <c r="F40" s="250" t="s">
        <v>300</v>
      </c>
      <c r="G40" s="361" t="s">
        <v>235</v>
      </c>
      <c r="H40" s="362"/>
      <c r="I40" s="363"/>
    </row>
    <row r="41" spans="2:9" ht="13.5" thickBot="1" x14ac:dyDescent="0.25">
      <c r="B41" s="158">
        <v>8</v>
      </c>
      <c r="C41" s="163">
        <f>1.9-1.5</f>
        <v>0.39999999999999991</v>
      </c>
      <c r="D41" s="163">
        <v>1.4</v>
      </c>
      <c r="E41" s="163">
        <v>1.4</v>
      </c>
      <c r="F41" s="163">
        <f>B41*C41*D41*E41</f>
        <v>6.2719999999999976</v>
      </c>
      <c r="G41" s="361" t="s">
        <v>236</v>
      </c>
      <c r="H41" s="362"/>
      <c r="I41" s="363"/>
    </row>
    <row r="42" spans="2:9" ht="13.5" thickBot="1" x14ac:dyDescent="0.25">
      <c r="B42" s="158">
        <v>4</v>
      </c>
      <c r="C42" s="163">
        <f>1.9-1.5</f>
        <v>0.39999999999999991</v>
      </c>
      <c r="D42" s="163">
        <v>1.6</v>
      </c>
      <c r="E42" s="163">
        <v>0.6</v>
      </c>
      <c r="F42" s="163">
        <f>B42*C42*D42*E42</f>
        <v>1.5359999999999998</v>
      </c>
      <c r="G42" s="361" t="s">
        <v>237</v>
      </c>
      <c r="H42" s="362"/>
      <c r="I42" s="363"/>
    </row>
    <row r="43" spans="2:9" ht="13.5" thickBot="1" x14ac:dyDescent="0.25">
      <c r="B43" s="158">
        <v>4</v>
      </c>
      <c r="C43" s="163">
        <f>1.9-1.5</f>
        <v>0.39999999999999991</v>
      </c>
      <c r="D43" s="163">
        <v>1.05</v>
      </c>
      <c r="E43" s="163">
        <v>0.6</v>
      </c>
      <c r="F43" s="163">
        <f>B43*C43*D43*E43</f>
        <v>1.0079999999999998</v>
      </c>
      <c r="G43" s="361" t="s">
        <v>238</v>
      </c>
      <c r="H43" s="362"/>
      <c r="I43" s="363"/>
    </row>
    <row r="44" spans="2:9" ht="13.5" thickBot="1" x14ac:dyDescent="0.25">
      <c r="B44" s="158">
        <v>2</v>
      </c>
      <c r="C44" s="163">
        <f>1.9-1.5</f>
        <v>0.39999999999999991</v>
      </c>
      <c r="D44" s="163">
        <v>2.75</v>
      </c>
      <c r="E44" s="163">
        <v>0.6</v>
      </c>
      <c r="F44" s="163">
        <f>B44*C44*D44*E44</f>
        <v>1.3199999999999996</v>
      </c>
      <c r="G44" s="361" t="s">
        <v>239</v>
      </c>
      <c r="H44" s="362"/>
      <c r="I44" s="363"/>
    </row>
    <row r="45" spans="2:9" ht="13.5" thickBot="1" x14ac:dyDescent="0.25">
      <c r="B45" s="158">
        <v>1</v>
      </c>
      <c r="C45" s="163">
        <f>1.9-1.5</f>
        <v>0.39999999999999991</v>
      </c>
      <c r="D45" s="163">
        <f>1.8*3.14</f>
        <v>5.6520000000000001</v>
      </c>
      <c r="E45" s="163">
        <v>0.6</v>
      </c>
      <c r="F45" s="163">
        <f>B45*C45*D45*E45</f>
        <v>1.3564799999999997</v>
      </c>
      <c r="G45" s="361" t="s">
        <v>240</v>
      </c>
      <c r="H45" s="362"/>
      <c r="I45" s="363"/>
    </row>
    <row r="46" spans="2:9" ht="13.5" thickBot="1" x14ac:dyDescent="0.25">
      <c r="B46" s="338" t="s">
        <v>306</v>
      </c>
      <c r="C46" s="339"/>
      <c r="D46" s="339"/>
      <c r="E46" s="339"/>
      <c r="F46" s="339"/>
      <c r="G46" s="339"/>
      <c r="H46" s="339"/>
      <c r="I46" s="340"/>
    </row>
    <row r="47" spans="2:9" ht="13.5" thickBot="1" x14ac:dyDescent="0.25">
      <c r="B47" s="254" t="s">
        <v>234</v>
      </c>
      <c r="C47" s="253" t="s">
        <v>314</v>
      </c>
      <c r="D47" s="253" t="s">
        <v>255</v>
      </c>
      <c r="E47" s="253" t="s">
        <v>315</v>
      </c>
      <c r="F47" s="253" t="s">
        <v>300</v>
      </c>
      <c r="G47" s="361" t="s">
        <v>235</v>
      </c>
      <c r="H47" s="362"/>
      <c r="I47" s="363"/>
    </row>
    <row r="48" spans="2:9" ht="13.5" thickBot="1" x14ac:dyDescent="0.25">
      <c r="B48" s="158">
        <v>1</v>
      </c>
      <c r="C48" s="163">
        <f>1.9-1.5</f>
        <v>0.39999999999999991</v>
      </c>
      <c r="D48" s="163">
        <v>4.0999999999999996</v>
      </c>
      <c r="E48" s="163">
        <v>2.1</v>
      </c>
      <c r="F48" s="163">
        <f>B48*C48*D48*E48</f>
        <v>3.4439999999999991</v>
      </c>
      <c r="G48" s="361" t="s">
        <v>307</v>
      </c>
      <c r="H48" s="362"/>
      <c r="I48" s="363"/>
    </row>
    <row r="49" spans="2:9" ht="13.5" thickBot="1" x14ac:dyDescent="0.25">
      <c r="B49" s="158">
        <v>1</v>
      </c>
      <c r="C49" s="163">
        <f>1.9-1.5</f>
        <v>0.39999999999999991</v>
      </c>
      <c r="D49" s="163">
        <v>4.0999999999999996</v>
      </c>
      <c r="E49" s="163">
        <v>2.1</v>
      </c>
      <c r="F49" s="163">
        <f>B49*C49*D49*E49</f>
        <v>3.4439999999999991</v>
      </c>
      <c r="G49" s="361" t="s">
        <v>308</v>
      </c>
      <c r="H49" s="362"/>
      <c r="I49" s="363"/>
    </row>
    <row r="50" spans="2:9" x14ac:dyDescent="0.2">
      <c r="B50" s="171"/>
      <c r="C50" s="178"/>
      <c r="D50" s="178"/>
      <c r="E50" s="178"/>
      <c r="F50" s="178"/>
      <c r="G50" s="256"/>
      <c r="H50" s="256"/>
      <c r="I50" s="256"/>
    </row>
    <row r="51" spans="2:9" x14ac:dyDescent="0.2">
      <c r="B51" s="171"/>
      <c r="C51" s="178"/>
      <c r="D51" s="178"/>
      <c r="E51" s="178"/>
      <c r="F51" s="178"/>
      <c r="G51" s="256"/>
      <c r="H51" s="256"/>
      <c r="I51" s="256"/>
    </row>
    <row r="52" spans="2:9" x14ac:dyDescent="0.2">
      <c r="B52" s="171"/>
      <c r="C52" s="178"/>
      <c r="D52" s="178"/>
      <c r="E52" s="178"/>
      <c r="F52" s="178"/>
      <c r="G52" s="256"/>
      <c r="H52" s="256"/>
      <c r="I52" s="256"/>
    </row>
    <row r="53" spans="2:9" ht="13.5" thickBot="1" x14ac:dyDescent="0.25">
      <c r="B53" s="131"/>
      <c r="C53" s="131"/>
      <c r="D53" s="131"/>
      <c r="E53" s="131"/>
      <c r="F53" s="131"/>
      <c r="G53" s="142"/>
      <c r="H53" s="142"/>
      <c r="I53" s="142"/>
    </row>
    <row r="54" spans="2:9" ht="13.5" thickBot="1" x14ac:dyDescent="0.25">
      <c r="B54" s="345" t="s">
        <v>0</v>
      </c>
      <c r="C54" s="345" t="s">
        <v>9</v>
      </c>
      <c r="D54" s="345" t="s">
        <v>1</v>
      </c>
      <c r="E54" s="345" t="s">
        <v>189</v>
      </c>
      <c r="F54" s="345" t="s">
        <v>8</v>
      </c>
      <c r="G54" s="142"/>
      <c r="I54" s="142"/>
    </row>
    <row r="55" spans="2:9" ht="13.5" thickBot="1" x14ac:dyDescent="0.25">
      <c r="B55" s="345"/>
      <c r="C55" s="345"/>
      <c r="D55" s="345"/>
      <c r="E55" s="345"/>
      <c r="F55" s="345"/>
      <c r="G55" s="142"/>
      <c r="I55" s="142"/>
    </row>
    <row r="56" spans="2:9" ht="36.75" thickBot="1" x14ac:dyDescent="0.25">
      <c r="B56" s="140" t="s">
        <v>177</v>
      </c>
      <c r="C56" s="140">
        <v>94097</v>
      </c>
      <c r="D56" s="135" t="s">
        <v>560</v>
      </c>
      <c r="E56" s="133" t="s">
        <v>10</v>
      </c>
      <c r="F56" s="134">
        <f>SUM(F58:F58)</f>
        <v>5.120000000000001</v>
      </c>
      <c r="G56" s="143"/>
      <c r="H56" s="143"/>
      <c r="I56" s="143"/>
    </row>
    <row r="57" spans="2:9" ht="13.5" customHeight="1" thickBot="1" x14ac:dyDescent="0.25">
      <c r="B57" s="132" t="s">
        <v>234</v>
      </c>
      <c r="C57" s="136" t="s">
        <v>314</v>
      </c>
      <c r="D57" s="136" t="s">
        <v>255</v>
      </c>
      <c r="E57" s="136" t="s">
        <v>315</v>
      </c>
      <c r="F57" s="136" t="s">
        <v>300</v>
      </c>
      <c r="G57" s="375" t="s">
        <v>235</v>
      </c>
      <c r="H57" s="376"/>
      <c r="I57" s="377"/>
    </row>
    <row r="58" spans="2:9" ht="13.5" thickBot="1" x14ac:dyDescent="0.25">
      <c r="B58" s="158">
        <v>8</v>
      </c>
      <c r="C58" s="137"/>
      <c r="D58" s="137">
        <v>0.8</v>
      </c>
      <c r="E58" s="137">
        <v>0.8</v>
      </c>
      <c r="F58" s="137">
        <f>B58*D58*E58</f>
        <v>5.120000000000001</v>
      </c>
      <c r="G58" s="361" t="s">
        <v>236</v>
      </c>
      <c r="H58" s="362"/>
      <c r="I58" s="363"/>
    </row>
    <row r="59" spans="2:9" ht="13.5" customHeight="1" thickBot="1" x14ac:dyDescent="0.25">
      <c r="G59" s="143"/>
      <c r="H59" s="143"/>
      <c r="I59" s="143"/>
    </row>
    <row r="60" spans="2:9" ht="13.5" customHeight="1" thickBot="1" x14ac:dyDescent="0.25">
      <c r="B60" s="345" t="s">
        <v>0</v>
      </c>
      <c r="C60" s="345" t="s">
        <v>9</v>
      </c>
      <c r="D60" s="345" t="s">
        <v>1</v>
      </c>
      <c r="E60" s="345" t="s">
        <v>189</v>
      </c>
      <c r="F60" s="345" t="s">
        <v>8</v>
      </c>
      <c r="G60" s="142"/>
      <c r="I60" s="142"/>
    </row>
    <row r="61" spans="2:9" ht="13.5" customHeight="1" thickBot="1" x14ac:dyDescent="0.25">
      <c r="B61" s="345"/>
      <c r="C61" s="345"/>
      <c r="D61" s="345"/>
      <c r="E61" s="345"/>
      <c r="F61" s="345"/>
      <c r="G61" s="142"/>
      <c r="I61" s="142"/>
    </row>
    <row r="62" spans="2:9" ht="36.75" thickBot="1" x14ac:dyDescent="0.25">
      <c r="B62" s="140" t="s">
        <v>76</v>
      </c>
      <c r="C62" s="140">
        <v>94099</v>
      </c>
      <c r="D62" s="135" t="s">
        <v>562</v>
      </c>
      <c r="E62" s="133" t="s">
        <v>10</v>
      </c>
      <c r="F62" s="134">
        <f>SUM(F64:F64)</f>
        <v>5.120000000000001</v>
      </c>
      <c r="G62" s="143"/>
      <c r="H62" s="143"/>
      <c r="I62" s="143"/>
    </row>
    <row r="63" spans="2:9" ht="13.5" customHeight="1" thickBot="1" x14ac:dyDescent="0.25">
      <c r="B63" s="251" t="s">
        <v>234</v>
      </c>
      <c r="C63" s="136" t="s">
        <v>314</v>
      </c>
      <c r="D63" s="136" t="s">
        <v>255</v>
      </c>
      <c r="E63" s="136" t="s">
        <v>315</v>
      </c>
      <c r="F63" s="136" t="s">
        <v>300</v>
      </c>
      <c r="G63" s="375" t="s">
        <v>235</v>
      </c>
      <c r="H63" s="376"/>
      <c r="I63" s="377"/>
    </row>
    <row r="64" spans="2:9" ht="13.5" customHeight="1" thickBot="1" x14ac:dyDescent="0.25">
      <c r="B64" s="158">
        <v>8</v>
      </c>
      <c r="C64" s="137"/>
      <c r="D64" s="137">
        <v>0.8</v>
      </c>
      <c r="E64" s="137">
        <v>0.8</v>
      </c>
      <c r="F64" s="137">
        <f>B64*D64*E64</f>
        <v>5.120000000000001</v>
      </c>
      <c r="G64" s="361" t="s">
        <v>236</v>
      </c>
      <c r="H64" s="362"/>
      <c r="I64" s="363"/>
    </row>
    <row r="65" spans="2:9" ht="13.5" customHeight="1" thickBot="1" x14ac:dyDescent="0.25">
      <c r="G65" s="143"/>
      <c r="H65" s="143"/>
      <c r="I65" s="143"/>
    </row>
    <row r="66" spans="2:9" ht="13.5" thickBot="1" x14ac:dyDescent="0.25">
      <c r="B66" s="345" t="s">
        <v>0</v>
      </c>
      <c r="C66" s="345" t="s">
        <v>9</v>
      </c>
      <c r="D66" s="345" t="s">
        <v>1</v>
      </c>
      <c r="E66" s="345" t="s">
        <v>189</v>
      </c>
      <c r="F66" s="345" t="s">
        <v>8</v>
      </c>
      <c r="G66" s="130"/>
      <c r="H66" s="130"/>
      <c r="I66" s="130"/>
    </row>
    <row r="67" spans="2:9" ht="13.5" thickBot="1" x14ac:dyDescent="0.25">
      <c r="B67" s="345"/>
      <c r="C67" s="345"/>
      <c r="D67" s="345"/>
      <c r="E67" s="345"/>
      <c r="F67" s="345"/>
      <c r="G67" s="130"/>
      <c r="H67" s="130"/>
      <c r="I67" s="130"/>
    </row>
    <row r="68" spans="2:9" ht="13.5" thickBot="1" x14ac:dyDescent="0.25">
      <c r="B68" s="140" t="s">
        <v>231</v>
      </c>
      <c r="C68" s="140" t="s">
        <v>457</v>
      </c>
      <c r="D68" s="135" t="s">
        <v>461</v>
      </c>
      <c r="E68" s="133" t="s">
        <v>58</v>
      </c>
      <c r="F68" s="134">
        <f>SUM(F70:F77)</f>
        <v>9.7324479440612439</v>
      </c>
      <c r="G68" s="130"/>
      <c r="H68" s="130"/>
      <c r="I68" s="130"/>
    </row>
    <row r="69" spans="2:9" ht="60.75" thickBot="1" x14ac:dyDescent="0.25">
      <c r="B69" s="132" t="s">
        <v>282</v>
      </c>
      <c r="C69" s="150" t="s">
        <v>283</v>
      </c>
      <c r="D69" s="150" t="s">
        <v>279</v>
      </c>
      <c r="E69" s="150" t="s">
        <v>280</v>
      </c>
      <c r="F69" s="150" t="s">
        <v>281</v>
      </c>
      <c r="G69" s="397" t="s">
        <v>235</v>
      </c>
      <c r="H69" s="398"/>
      <c r="I69" s="399"/>
    </row>
    <row r="70" spans="2:9" ht="13.5" thickBot="1" x14ac:dyDescent="0.25">
      <c r="B70" s="148">
        <f>1.4*1.4*0.8</f>
        <v>1.5679999999999998</v>
      </c>
      <c r="C70" s="162">
        <f>1.2*1.2*0.1</f>
        <v>0.14399999999999999</v>
      </c>
      <c r="D70" s="163">
        <f t="shared" ref="D70:D77" si="0">H153</f>
        <v>0.18944400699234451</v>
      </c>
      <c r="E70" s="162">
        <f>0.3*0.15*0.4</f>
        <v>1.7999999999999999E-2</v>
      </c>
      <c r="F70" s="163">
        <f>B70-C70-D70-E70</f>
        <v>1.2165559930076555</v>
      </c>
      <c r="G70" s="341" t="s">
        <v>269</v>
      </c>
      <c r="H70" s="341"/>
      <c r="I70" s="341"/>
    </row>
    <row r="71" spans="2:9" ht="13.5" thickBot="1" x14ac:dyDescent="0.25">
      <c r="B71" s="148">
        <f t="shared" ref="B71:B77" si="1">1.4*1.4*0.8</f>
        <v>1.5679999999999998</v>
      </c>
      <c r="C71" s="162">
        <f t="shared" ref="C71:C77" si="2">1.2*1.2*0.1</f>
        <v>0.14399999999999999</v>
      </c>
      <c r="D71" s="163">
        <f t="shared" si="0"/>
        <v>0.18944400699234451</v>
      </c>
      <c r="E71" s="162">
        <f t="shared" ref="E71:E77" si="3">0.3*0.15*0.4</f>
        <v>1.7999999999999999E-2</v>
      </c>
      <c r="F71" s="163">
        <f t="shared" ref="F71:F77" si="4">B71-C71-D71-E71</f>
        <v>1.2165559930076555</v>
      </c>
      <c r="G71" s="341" t="s">
        <v>270</v>
      </c>
      <c r="H71" s="341"/>
      <c r="I71" s="341"/>
    </row>
    <row r="72" spans="2:9" ht="13.5" thickBot="1" x14ac:dyDescent="0.25">
      <c r="B72" s="148">
        <f t="shared" si="1"/>
        <v>1.5679999999999998</v>
      </c>
      <c r="C72" s="162">
        <f t="shared" si="2"/>
        <v>0.14399999999999999</v>
      </c>
      <c r="D72" s="163">
        <f t="shared" si="0"/>
        <v>0.18944400699234451</v>
      </c>
      <c r="E72" s="162">
        <f t="shared" si="3"/>
        <v>1.7999999999999999E-2</v>
      </c>
      <c r="F72" s="163">
        <f t="shared" si="4"/>
        <v>1.2165559930076555</v>
      </c>
      <c r="G72" s="341" t="s">
        <v>271</v>
      </c>
      <c r="H72" s="341"/>
      <c r="I72" s="341"/>
    </row>
    <row r="73" spans="2:9" ht="13.5" thickBot="1" x14ac:dyDescent="0.25">
      <c r="B73" s="148">
        <f t="shared" si="1"/>
        <v>1.5679999999999998</v>
      </c>
      <c r="C73" s="162">
        <f t="shared" si="2"/>
        <v>0.14399999999999999</v>
      </c>
      <c r="D73" s="163">
        <f t="shared" si="0"/>
        <v>0.18944400699234451</v>
      </c>
      <c r="E73" s="162">
        <f t="shared" si="3"/>
        <v>1.7999999999999999E-2</v>
      </c>
      <c r="F73" s="163">
        <f t="shared" si="4"/>
        <v>1.2165559930076555</v>
      </c>
      <c r="G73" s="341" t="s">
        <v>272</v>
      </c>
      <c r="H73" s="341"/>
      <c r="I73" s="341"/>
    </row>
    <row r="74" spans="2:9" ht="13.5" thickBot="1" x14ac:dyDescent="0.25">
      <c r="B74" s="148">
        <f t="shared" si="1"/>
        <v>1.5679999999999998</v>
      </c>
      <c r="C74" s="162">
        <f t="shared" si="2"/>
        <v>0.14399999999999999</v>
      </c>
      <c r="D74" s="163">
        <f t="shared" si="0"/>
        <v>0.18944400699234451</v>
      </c>
      <c r="E74" s="162">
        <f t="shared" si="3"/>
        <v>1.7999999999999999E-2</v>
      </c>
      <c r="F74" s="163">
        <f t="shared" si="4"/>
        <v>1.2165559930076555</v>
      </c>
      <c r="G74" s="341" t="s">
        <v>273</v>
      </c>
      <c r="H74" s="341"/>
      <c r="I74" s="341"/>
    </row>
    <row r="75" spans="2:9" ht="13.5" thickBot="1" x14ac:dyDescent="0.25">
      <c r="B75" s="148">
        <f t="shared" si="1"/>
        <v>1.5679999999999998</v>
      </c>
      <c r="C75" s="162">
        <f t="shared" si="2"/>
        <v>0.14399999999999999</v>
      </c>
      <c r="D75" s="163">
        <f t="shared" si="0"/>
        <v>0.18944400699234451</v>
      </c>
      <c r="E75" s="162">
        <f t="shared" si="3"/>
        <v>1.7999999999999999E-2</v>
      </c>
      <c r="F75" s="163">
        <f t="shared" si="4"/>
        <v>1.2165559930076555</v>
      </c>
      <c r="G75" s="341" t="s">
        <v>274</v>
      </c>
      <c r="H75" s="341"/>
      <c r="I75" s="341"/>
    </row>
    <row r="76" spans="2:9" ht="13.5" thickBot="1" x14ac:dyDescent="0.25">
      <c r="B76" s="148">
        <f t="shared" si="1"/>
        <v>1.5679999999999998</v>
      </c>
      <c r="C76" s="162">
        <f t="shared" si="2"/>
        <v>0.14399999999999999</v>
      </c>
      <c r="D76" s="163">
        <f t="shared" si="0"/>
        <v>0.18944400699234451</v>
      </c>
      <c r="E76" s="162">
        <f t="shared" si="3"/>
        <v>1.7999999999999999E-2</v>
      </c>
      <c r="F76" s="163">
        <f t="shared" si="4"/>
        <v>1.2165559930076555</v>
      </c>
      <c r="G76" s="341" t="s">
        <v>275</v>
      </c>
      <c r="H76" s="341"/>
      <c r="I76" s="341"/>
    </row>
    <row r="77" spans="2:9" ht="13.5" thickBot="1" x14ac:dyDescent="0.25">
      <c r="B77" s="148">
        <f t="shared" si="1"/>
        <v>1.5679999999999998</v>
      </c>
      <c r="C77" s="162">
        <f t="shared" si="2"/>
        <v>0.14399999999999999</v>
      </c>
      <c r="D77" s="163">
        <f t="shared" si="0"/>
        <v>0.18944400699234451</v>
      </c>
      <c r="E77" s="162">
        <f t="shared" si="3"/>
        <v>1.7999999999999999E-2</v>
      </c>
      <c r="F77" s="163">
        <f t="shared" si="4"/>
        <v>1.2165559930076555</v>
      </c>
      <c r="G77" s="341" t="s">
        <v>276</v>
      </c>
      <c r="H77" s="341"/>
      <c r="I77" s="341"/>
    </row>
    <row r="78" spans="2:9" ht="13.5" thickBot="1" x14ac:dyDescent="0.25">
      <c r="G78" s="143"/>
      <c r="H78" s="143"/>
      <c r="I78" s="143"/>
    </row>
    <row r="79" spans="2:9" ht="13.5" thickBot="1" x14ac:dyDescent="0.25">
      <c r="B79" s="345" t="s">
        <v>0</v>
      </c>
      <c r="C79" s="345" t="s">
        <v>9</v>
      </c>
      <c r="D79" s="345" t="s">
        <v>1</v>
      </c>
      <c r="E79" s="345" t="s">
        <v>189</v>
      </c>
      <c r="F79" s="345" t="s">
        <v>8</v>
      </c>
      <c r="G79" s="143"/>
      <c r="H79" s="143"/>
      <c r="I79" s="143"/>
    </row>
    <row r="80" spans="2:9" ht="13.5" thickBot="1" x14ac:dyDescent="0.25">
      <c r="B80" s="345"/>
      <c r="C80" s="345"/>
      <c r="D80" s="345"/>
      <c r="E80" s="345"/>
      <c r="F80" s="345"/>
      <c r="G80" s="143"/>
      <c r="H80" s="143"/>
      <c r="I80" s="143"/>
    </row>
    <row r="81" spans="2:9" ht="24.75" thickBot="1" x14ac:dyDescent="0.25">
      <c r="B81" s="140" t="s">
        <v>559</v>
      </c>
      <c r="C81" s="140" t="s">
        <v>458</v>
      </c>
      <c r="D81" s="135" t="s">
        <v>459</v>
      </c>
      <c r="E81" s="133" t="s">
        <v>58</v>
      </c>
      <c r="F81" s="134">
        <f>SUM(F83:F88)</f>
        <v>27.366061249999998</v>
      </c>
      <c r="G81" s="143"/>
      <c r="H81" s="143"/>
      <c r="I81" s="143"/>
    </row>
    <row r="82" spans="2:9" ht="13.5" customHeight="1" thickBot="1" x14ac:dyDescent="0.25">
      <c r="B82" s="132" t="s">
        <v>234</v>
      </c>
      <c r="C82" s="136" t="s">
        <v>314</v>
      </c>
      <c r="D82" s="136" t="s">
        <v>255</v>
      </c>
      <c r="E82" s="136" t="s">
        <v>315</v>
      </c>
      <c r="F82" s="136" t="s">
        <v>300</v>
      </c>
      <c r="G82" s="375" t="s">
        <v>235</v>
      </c>
      <c r="H82" s="376"/>
      <c r="I82" s="377"/>
    </row>
    <row r="83" spans="2:9" ht="13.5" thickBot="1" x14ac:dyDescent="0.25">
      <c r="B83" s="158">
        <v>1</v>
      </c>
      <c r="C83" s="162">
        <v>0.3</v>
      </c>
      <c r="D83" s="162">
        <v>2.2999999999999998</v>
      </c>
      <c r="E83" s="162">
        <v>1.55</v>
      </c>
      <c r="F83" s="162">
        <f>D83*E83*C83</f>
        <v>1.0694999999999999</v>
      </c>
      <c r="G83" s="361" t="s">
        <v>309</v>
      </c>
      <c r="H83" s="362"/>
      <c r="I83" s="363"/>
    </row>
    <row r="84" spans="2:9" ht="13.5" thickBot="1" x14ac:dyDescent="0.25">
      <c r="B84" s="158">
        <v>1</v>
      </c>
      <c r="C84" s="162">
        <v>0.3</v>
      </c>
      <c r="D84" s="162">
        <v>2.2999999999999998</v>
      </c>
      <c r="E84" s="162">
        <v>1.55</v>
      </c>
      <c r="F84" s="162">
        <f>D84*E84*C84</f>
        <v>1.0694999999999999</v>
      </c>
      <c r="G84" s="361" t="s">
        <v>310</v>
      </c>
      <c r="H84" s="362"/>
      <c r="I84" s="363"/>
    </row>
    <row r="85" spans="2:9" ht="13.5" thickBot="1" x14ac:dyDescent="0.25">
      <c r="B85" s="158">
        <v>1</v>
      </c>
      <c r="C85" s="162">
        <v>0.65</v>
      </c>
      <c r="D85" s="162">
        <v>2.2999999999999998</v>
      </c>
      <c r="E85" s="162">
        <v>3.25</v>
      </c>
      <c r="F85" s="162">
        <f>D85*E85*C85</f>
        <v>4.8587499999999997</v>
      </c>
      <c r="G85" s="361" t="s">
        <v>311</v>
      </c>
      <c r="H85" s="362"/>
      <c r="I85" s="363"/>
    </row>
    <row r="86" spans="2:9" ht="13.5" thickBot="1" x14ac:dyDescent="0.25">
      <c r="B86" s="158">
        <v>1</v>
      </c>
      <c r="C86" s="162">
        <v>0.65</v>
      </c>
      <c r="D86" s="162" t="s">
        <v>313</v>
      </c>
      <c r="E86" s="162">
        <f>(3.14*(1.65^2))/2</f>
        <v>4.2743249999999993</v>
      </c>
      <c r="F86" s="162">
        <f>E86*C86</f>
        <v>2.7783112499999998</v>
      </c>
      <c r="G86" s="361" t="s">
        <v>312</v>
      </c>
      <c r="H86" s="362"/>
      <c r="I86" s="363"/>
    </row>
    <row r="87" spans="2:9" ht="13.5" thickBot="1" x14ac:dyDescent="0.25">
      <c r="B87" s="158">
        <v>1</v>
      </c>
      <c r="C87" s="144">
        <v>0.2</v>
      </c>
      <c r="D87" s="144">
        <v>7.3</v>
      </c>
      <c r="E87" s="144">
        <v>10</v>
      </c>
      <c r="F87" s="144">
        <f>C87*D87*E87</f>
        <v>14.6</v>
      </c>
      <c r="G87" s="349" t="s">
        <v>241</v>
      </c>
      <c r="H87" s="351"/>
      <c r="I87" s="350"/>
    </row>
    <row r="88" spans="2:9" ht="13.5" thickBot="1" x14ac:dyDescent="0.25">
      <c r="B88" s="158">
        <v>1</v>
      </c>
      <c r="C88" s="144">
        <v>0.4</v>
      </c>
      <c r="D88" s="144">
        <v>3.25</v>
      </c>
      <c r="E88" s="144">
        <v>2.2999999999999998</v>
      </c>
      <c r="F88" s="144">
        <f>C88*D88*E88</f>
        <v>2.9899999999999998</v>
      </c>
      <c r="G88" s="349" t="s">
        <v>242</v>
      </c>
      <c r="H88" s="351"/>
      <c r="I88" s="350"/>
    </row>
    <row r="89" spans="2:9" ht="13.5" thickBot="1" x14ac:dyDescent="0.25"/>
    <row r="90" spans="2:9" ht="13.5" thickBot="1" x14ac:dyDescent="0.25">
      <c r="B90" s="345" t="s">
        <v>0</v>
      </c>
      <c r="C90" s="345" t="s">
        <v>9</v>
      </c>
      <c r="D90" s="345" t="s">
        <v>1</v>
      </c>
      <c r="E90" s="345" t="s">
        <v>189</v>
      </c>
      <c r="F90" s="345" t="s">
        <v>8</v>
      </c>
      <c r="G90" s="143"/>
      <c r="H90" s="143"/>
      <c r="I90" s="143"/>
    </row>
    <row r="91" spans="2:9" ht="13.5" thickBot="1" x14ac:dyDescent="0.25">
      <c r="B91" s="345"/>
      <c r="C91" s="345"/>
      <c r="D91" s="345"/>
      <c r="E91" s="345"/>
      <c r="F91" s="345"/>
      <c r="G91" s="143"/>
      <c r="H91" s="143"/>
      <c r="I91" s="143"/>
    </row>
    <row r="92" spans="2:9" ht="24.75" thickBot="1" x14ac:dyDescent="0.25">
      <c r="B92" s="140" t="s">
        <v>561</v>
      </c>
      <c r="C92" s="140" t="s">
        <v>585</v>
      </c>
      <c r="D92" s="135" t="s">
        <v>459</v>
      </c>
      <c r="E92" s="133" t="s">
        <v>58</v>
      </c>
      <c r="F92" s="134">
        <f>SUM(F94:F99)</f>
        <v>19.870865000000002</v>
      </c>
      <c r="G92" s="143"/>
      <c r="H92" s="143"/>
      <c r="I92" s="143"/>
    </row>
    <row r="93" spans="2:9" ht="13.5" thickBot="1" x14ac:dyDescent="0.25">
      <c r="B93" s="251" t="s">
        <v>234</v>
      </c>
      <c r="C93" s="136" t="s">
        <v>314</v>
      </c>
      <c r="D93" s="136" t="s">
        <v>255</v>
      </c>
      <c r="E93" s="136" t="s">
        <v>315</v>
      </c>
      <c r="F93" s="136" t="s">
        <v>300</v>
      </c>
      <c r="G93" s="375" t="s">
        <v>235</v>
      </c>
      <c r="H93" s="376"/>
      <c r="I93" s="377"/>
    </row>
    <row r="94" spans="2:9" ht="13.5" thickBot="1" x14ac:dyDescent="0.25">
      <c r="B94" s="158">
        <v>1</v>
      </c>
      <c r="C94" s="163">
        <v>0.2</v>
      </c>
      <c r="D94" s="250">
        <v>2.2999999999999998</v>
      </c>
      <c r="E94" s="250">
        <v>1.55</v>
      </c>
      <c r="F94" s="250">
        <f>D94*E94*C94</f>
        <v>0.71300000000000008</v>
      </c>
      <c r="G94" s="361" t="s">
        <v>309</v>
      </c>
      <c r="H94" s="362"/>
      <c r="I94" s="363"/>
    </row>
    <row r="95" spans="2:9" ht="13.5" thickBot="1" x14ac:dyDescent="0.25">
      <c r="B95" s="158">
        <v>1</v>
      </c>
      <c r="C95" s="163">
        <v>0.2</v>
      </c>
      <c r="D95" s="250">
        <v>2.2999999999999998</v>
      </c>
      <c r="E95" s="250">
        <v>1.55</v>
      </c>
      <c r="F95" s="250">
        <f>D95*E95*C95</f>
        <v>0.71300000000000008</v>
      </c>
      <c r="G95" s="361" t="s">
        <v>310</v>
      </c>
      <c r="H95" s="362"/>
      <c r="I95" s="363"/>
    </row>
    <row r="96" spans="2:9" ht="13.5" thickBot="1" x14ac:dyDescent="0.25">
      <c r="B96" s="158">
        <v>1</v>
      </c>
      <c r="C96" s="163">
        <v>0.2</v>
      </c>
      <c r="D96" s="250">
        <v>2.2999999999999998</v>
      </c>
      <c r="E96" s="250">
        <v>3.25</v>
      </c>
      <c r="F96" s="250">
        <f>D96*E96*C96</f>
        <v>1.4950000000000001</v>
      </c>
      <c r="G96" s="361" t="s">
        <v>311</v>
      </c>
      <c r="H96" s="362"/>
      <c r="I96" s="363"/>
    </row>
    <row r="97" spans="2:9" ht="13.5" thickBot="1" x14ac:dyDescent="0.25">
      <c r="B97" s="158">
        <v>1</v>
      </c>
      <c r="C97" s="163">
        <v>0.2</v>
      </c>
      <c r="D97" s="250" t="s">
        <v>313</v>
      </c>
      <c r="E97" s="250">
        <f>(3.14*(1.65^2))/2</f>
        <v>4.2743249999999993</v>
      </c>
      <c r="F97" s="250">
        <f>E97*C97</f>
        <v>0.85486499999999987</v>
      </c>
      <c r="G97" s="361" t="s">
        <v>312</v>
      </c>
      <c r="H97" s="362"/>
      <c r="I97" s="363"/>
    </row>
    <row r="98" spans="2:9" ht="13.5" thickBot="1" x14ac:dyDescent="0.25">
      <c r="B98" s="158">
        <v>1</v>
      </c>
      <c r="C98" s="267">
        <v>0.2</v>
      </c>
      <c r="D98" s="249">
        <v>7.3</v>
      </c>
      <c r="E98" s="249">
        <v>10</v>
      </c>
      <c r="F98" s="249">
        <f>C98*D98*E98</f>
        <v>14.6</v>
      </c>
      <c r="G98" s="349" t="s">
        <v>241</v>
      </c>
      <c r="H98" s="351"/>
      <c r="I98" s="350"/>
    </row>
    <row r="99" spans="2:9" ht="13.5" thickBot="1" x14ac:dyDescent="0.25">
      <c r="B99" s="158">
        <v>1</v>
      </c>
      <c r="C99" s="249">
        <v>0.2</v>
      </c>
      <c r="D99" s="249">
        <v>3.25</v>
      </c>
      <c r="E99" s="249">
        <v>2.2999999999999998</v>
      </c>
      <c r="F99" s="249">
        <f>C99*D99*E99</f>
        <v>1.4949999999999999</v>
      </c>
      <c r="G99" s="349" t="s">
        <v>242</v>
      </c>
      <c r="H99" s="351"/>
      <c r="I99" s="350"/>
    </row>
    <row r="101" spans="2:9" ht="13.5" thickBot="1" x14ac:dyDescent="0.25"/>
    <row r="102" spans="2:9" ht="15.75" thickBot="1" x14ac:dyDescent="0.25">
      <c r="B102" s="139">
        <v>3</v>
      </c>
      <c r="C102" s="384" t="s">
        <v>233</v>
      </c>
      <c r="D102" s="384"/>
      <c r="E102" s="384"/>
      <c r="F102" s="384"/>
      <c r="G102" s="384"/>
      <c r="H102" s="384"/>
      <c r="I102" s="384"/>
    </row>
    <row r="104" spans="2:9" ht="13.5" thickBot="1" x14ac:dyDescent="0.25"/>
    <row r="105" spans="2:9" ht="13.5" thickBot="1" x14ac:dyDescent="0.25">
      <c r="B105" s="345" t="s">
        <v>0</v>
      </c>
      <c r="C105" s="345" t="s">
        <v>9</v>
      </c>
      <c r="D105" s="345" t="s">
        <v>1</v>
      </c>
      <c r="E105" s="345" t="s">
        <v>189</v>
      </c>
      <c r="F105" s="345" t="s">
        <v>8</v>
      </c>
      <c r="G105" s="143"/>
      <c r="H105" s="143"/>
      <c r="I105" s="143"/>
    </row>
    <row r="106" spans="2:9" ht="13.5" thickBot="1" x14ac:dyDescent="0.25">
      <c r="B106" s="345"/>
      <c r="C106" s="345"/>
      <c r="D106" s="345"/>
      <c r="E106" s="345"/>
      <c r="F106" s="345"/>
      <c r="G106" s="143"/>
      <c r="H106" s="143"/>
      <c r="I106" s="143"/>
    </row>
    <row r="107" spans="2:9" ht="24.75" thickBot="1" x14ac:dyDescent="0.25">
      <c r="B107" s="140" t="s">
        <v>14</v>
      </c>
      <c r="C107" s="140" t="s">
        <v>554</v>
      </c>
      <c r="D107" s="135" t="s">
        <v>184</v>
      </c>
      <c r="E107" s="133" t="s">
        <v>10</v>
      </c>
      <c r="F107" s="134">
        <f>SUM(F110:F117)+SUM(F119:F129)+SUM(F132:F133)</f>
        <v>39.581800000000001</v>
      </c>
      <c r="G107" s="143"/>
      <c r="H107" s="143"/>
      <c r="I107" s="143"/>
    </row>
    <row r="108" spans="2:9" ht="13.5" thickBot="1" x14ac:dyDescent="0.25">
      <c r="B108" s="338" t="s">
        <v>278</v>
      </c>
      <c r="C108" s="339"/>
      <c r="D108" s="339"/>
      <c r="E108" s="339"/>
      <c r="F108" s="339"/>
      <c r="G108" s="339"/>
      <c r="H108" s="339"/>
      <c r="I108" s="340"/>
    </row>
    <row r="109" spans="2:9" ht="13.5" thickBot="1" x14ac:dyDescent="0.25">
      <c r="B109" s="148" t="s">
        <v>234</v>
      </c>
      <c r="C109" s="162" t="s">
        <v>314</v>
      </c>
      <c r="D109" s="162" t="s">
        <v>255</v>
      </c>
      <c r="E109" s="162" t="s">
        <v>315</v>
      </c>
      <c r="F109" s="162" t="s">
        <v>300</v>
      </c>
      <c r="G109" s="361" t="s">
        <v>235</v>
      </c>
      <c r="H109" s="362"/>
      <c r="I109" s="363"/>
    </row>
    <row r="110" spans="2:9" ht="13.5" thickBot="1" x14ac:dyDescent="0.25">
      <c r="B110" s="190">
        <v>1</v>
      </c>
      <c r="C110" s="162">
        <v>0.2</v>
      </c>
      <c r="D110" s="162">
        <v>0.8</v>
      </c>
      <c r="E110" s="162">
        <v>0.8</v>
      </c>
      <c r="F110" s="162">
        <f>D110*E110</f>
        <v>0.64000000000000012</v>
      </c>
      <c r="G110" s="341" t="s">
        <v>269</v>
      </c>
      <c r="H110" s="341"/>
      <c r="I110" s="341"/>
    </row>
    <row r="111" spans="2:9" ht="13.5" thickBot="1" x14ac:dyDescent="0.25">
      <c r="B111" s="190">
        <v>1</v>
      </c>
      <c r="C111" s="162">
        <v>0.2</v>
      </c>
      <c r="D111" s="162">
        <v>0.8</v>
      </c>
      <c r="E111" s="162">
        <v>0.8</v>
      </c>
      <c r="F111" s="162">
        <f t="shared" ref="F111:F117" si="5">D111*E111</f>
        <v>0.64000000000000012</v>
      </c>
      <c r="G111" s="341" t="s">
        <v>270</v>
      </c>
      <c r="H111" s="341"/>
      <c r="I111" s="341"/>
    </row>
    <row r="112" spans="2:9" ht="13.5" thickBot="1" x14ac:dyDescent="0.25">
      <c r="B112" s="190">
        <v>1</v>
      </c>
      <c r="C112" s="162">
        <v>0.2</v>
      </c>
      <c r="D112" s="162">
        <v>0.8</v>
      </c>
      <c r="E112" s="162">
        <v>0.8</v>
      </c>
      <c r="F112" s="162">
        <f t="shared" si="5"/>
        <v>0.64000000000000012</v>
      </c>
      <c r="G112" s="341" t="s">
        <v>271</v>
      </c>
      <c r="H112" s="341"/>
      <c r="I112" s="341"/>
    </row>
    <row r="113" spans="2:9" ht="13.5" thickBot="1" x14ac:dyDescent="0.25">
      <c r="B113" s="190">
        <v>1</v>
      </c>
      <c r="C113" s="162">
        <v>0.2</v>
      </c>
      <c r="D113" s="162">
        <v>0.8</v>
      </c>
      <c r="E113" s="162">
        <v>0.8</v>
      </c>
      <c r="F113" s="162">
        <f t="shared" si="5"/>
        <v>0.64000000000000012</v>
      </c>
      <c r="G113" s="341" t="s">
        <v>272</v>
      </c>
      <c r="H113" s="341"/>
      <c r="I113" s="341"/>
    </row>
    <row r="114" spans="2:9" ht="13.5" thickBot="1" x14ac:dyDescent="0.25">
      <c r="B114" s="190">
        <v>1</v>
      </c>
      <c r="C114" s="162">
        <v>0.2</v>
      </c>
      <c r="D114" s="162">
        <v>0.8</v>
      </c>
      <c r="E114" s="162">
        <v>0.8</v>
      </c>
      <c r="F114" s="162">
        <f t="shared" si="5"/>
        <v>0.64000000000000012</v>
      </c>
      <c r="G114" s="341" t="s">
        <v>273</v>
      </c>
      <c r="H114" s="341"/>
      <c r="I114" s="341"/>
    </row>
    <row r="115" spans="2:9" ht="13.5" thickBot="1" x14ac:dyDescent="0.25">
      <c r="B115" s="190">
        <v>1</v>
      </c>
      <c r="C115" s="162">
        <v>0.2</v>
      </c>
      <c r="D115" s="162">
        <v>0.8</v>
      </c>
      <c r="E115" s="162">
        <v>0.8</v>
      </c>
      <c r="F115" s="162">
        <f t="shared" si="5"/>
        <v>0.64000000000000012</v>
      </c>
      <c r="G115" s="341" t="s">
        <v>274</v>
      </c>
      <c r="H115" s="341"/>
      <c r="I115" s="341"/>
    </row>
    <row r="116" spans="2:9" ht="13.5" thickBot="1" x14ac:dyDescent="0.25">
      <c r="B116" s="190">
        <v>1</v>
      </c>
      <c r="C116" s="162">
        <v>0.2</v>
      </c>
      <c r="D116" s="162">
        <v>0.8</v>
      </c>
      <c r="E116" s="162">
        <v>0.8</v>
      </c>
      <c r="F116" s="162">
        <f t="shared" si="5"/>
        <v>0.64000000000000012</v>
      </c>
      <c r="G116" s="341" t="s">
        <v>275</v>
      </c>
      <c r="H116" s="341"/>
      <c r="I116" s="341"/>
    </row>
    <row r="117" spans="2:9" ht="13.5" thickBot="1" x14ac:dyDescent="0.25">
      <c r="B117" s="190">
        <v>1</v>
      </c>
      <c r="C117" s="162">
        <v>0.2</v>
      </c>
      <c r="D117" s="162">
        <v>0.8</v>
      </c>
      <c r="E117" s="162">
        <v>0.8</v>
      </c>
      <c r="F117" s="162">
        <f t="shared" si="5"/>
        <v>0.64000000000000012</v>
      </c>
      <c r="G117" s="341" t="s">
        <v>276</v>
      </c>
      <c r="H117" s="341"/>
      <c r="I117" s="341"/>
    </row>
    <row r="118" spans="2:9" ht="13.5" thickBot="1" x14ac:dyDescent="0.25">
      <c r="B118" s="338" t="s">
        <v>277</v>
      </c>
      <c r="C118" s="339"/>
      <c r="D118" s="339"/>
      <c r="E118" s="339"/>
      <c r="F118" s="339"/>
      <c r="G118" s="339"/>
      <c r="H118" s="339"/>
      <c r="I118" s="340"/>
    </row>
    <row r="119" spans="2:9" ht="13.5" thickBot="1" x14ac:dyDescent="0.25">
      <c r="B119" s="190">
        <v>1</v>
      </c>
      <c r="C119" s="162">
        <v>0.3</v>
      </c>
      <c r="D119" s="162">
        <v>1.55</v>
      </c>
      <c r="E119" s="162">
        <v>0.15</v>
      </c>
      <c r="F119" s="162">
        <f>(C119+E119+C119)*D119</f>
        <v>1.1625000000000001</v>
      </c>
      <c r="G119" s="341" t="s">
        <v>249</v>
      </c>
      <c r="H119" s="341"/>
      <c r="I119" s="341"/>
    </row>
    <row r="120" spans="2:9" ht="13.5" thickBot="1" x14ac:dyDescent="0.25">
      <c r="B120" s="191">
        <v>1</v>
      </c>
      <c r="C120" s="162">
        <v>0.3</v>
      </c>
      <c r="D120" s="162">
        <v>3.25</v>
      </c>
      <c r="E120" s="162">
        <v>0.15</v>
      </c>
      <c r="F120" s="162">
        <f t="shared" ref="F120:F129" si="6">(C120+E120+C120)*D120</f>
        <v>2.4375</v>
      </c>
      <c r="G120" s="341" t="s">
        <v>250</v>
      </c>
      <c r="H120" s="341"/>
      <c r="I120" s="341"/>
    </row>
    <row r="121" spans="2:9" ht="13.5" thickBot="1" x14ac:dyDescent="0.25">
      <c r="B121" s="191">
        <v>1</v>
      </c>
      <c r="C121" s="162">
        <v>0.3</v>
      </c>
      <c r="D121" s="162">
        <v>1.55</v>
      </c>
      <c r="E121" s="162">
        <v>0.15</v>
      </c>
      <c r="F121" s="162">
        <f t="shared" si="6"/>
        <v>1.1625000000000001</v>
      </c>
      <c r="G121" s="341" t="s">
        <v>251</v>
      </c>
      <c r="H121" s="341"/>
      <c r="I121" s="341"/>
    </row>
    <row r="122" spans="2:9" ht="13.5" thickBot="1" x14ac:dyDescent="0.25">
      <c r="B122" s="192">
        <v>1</v>
      </c>
      <c r="C122" s="162">
        <v>0.3</v>
      </c>
      <c r="D122" s="162">
        <v>1.55</v>
      </c>
      <c r="E122" s="162">
        <v>0.15</v>
      </c>
      <c r="F122" s="162">
        <f t="shared" si="6"/>
        <v>1.1625000000000001</v>
      </c>
      <c r="G122" s="341" t="s">
        <v>252</v>
      </c>
      <c r="H122" s="341"/>
      <c r="I122" s="341"/>
    </row>
    <row r="123" spans="2:9" ht="13.5" thickBot="1" x14ac:dyDescent="0.25">
      <c r="B123" s="190">
        <v>1</v>
      </c>
      <c r="C123" s="162">
        <v>0.3</v>
      </c>
      <c r="D123" s="162">
        <v>3.25</v>
      </c>
      <c r="E123" s="162">
        <v>0.15</v>
      </c>
      <c r="F123" s="162">
        <f t="shared" si="6"/>
        <v>2.4375</v>
      </c>
      <c r="G123" s="341" t="s">
        <v>254</v>
      </c>
      <c r="H123" s="341"/>
      <c r="I123" s="341"/>
    </row>
    <row r="124" spans="2:9" ht="13.5" thickBot="1" x14ac:dyDescent="0.25">
      <c r="B124" s="191">
        <v>1</v>
      </c>
      <c r="C124" s="162">
        <v>0.3</v>
      </c>
      <c r="D124" s="162">
        <v>1.55</v>
      </c>
      <c r="E124" s="162">
        <v>0.15</v>
      </c>
      <c r="F124" s="162">
        <f t="shared" si="6"/>
        <v>1.1625000000000001</v>
      </c>
      <c r="G124" s="341" t="s">
        <v>253</v>
      </c>
      <c r="H124" s="341"/>
      <c r="I124" s="341"/>
    </row>
    <row r="125" spans="2:9" ht="13.5" thickBot="1" x14ac:dyDescent="0.25">
      <c r="B125" s="191">
        <v>1</v>
      </c>
      <c r="C125" s="162">
        <v>0.3</v>
      </c>
      <c r="D125" s="163">
        <v>1.95</v>
      </c>
      <c r="E125" s="162">
        <v>0.15</v>
      </c>
      <c r="F125" s="162">
        <f t="shared" si="6"/>
        <v>1.4624999999999999</v>
      </c>
      <c r="G125" s="341" t="s">
        <v>256</v>
      </c>
      <c r="H125" s="341"/>
      <c r="I125" s="341"/>
    </row>
    <row r="126" spans="2:9" ht="13.5" thickBot="1" x14ac:dyDescent="0.25">
      <c r="B126" s="192">
        <v>1</v>
      </c>
      <c r="C126" s="162">
        <v>0.3</v>
      </c>
      <c r="D126" s="163">
        <v>1.95</v>
      </c>
      <c r="E126" s="162">
        <v>0.15</v>
      </c>
      <c r="F126" s="162">
        <f t="shared" si="6"/>
        <v>1.4624999999999999</v>
      </c>
      <c r="G126" s="341" t="s">
        <v>257</v>
      </c>
      <c r="H126" s="341"/>
      <c r="I126" s="341"/>
    </row>
    <row r="127" spans="2:9" ht="13.5" thickBot="1" x14ac:dyDescent="0.25">
      <c r="B127" s="190">
        <v>1</v>
      </c>
      <c r="C127" s="162">
        <v>0.3</v>
      </c>
      <c r="D127" s="163">
        <f>1.8*3.14</f>
        <v>5.6520000000000001</v>
      </c>
      <c r="E127" s="162">
        <v>0.3</v>
      </c>
      <c r="F127" s="162">
        <f t="shared" si="6"/>
        <v>5.0867999999999993</v>
      </c>
      <c r="G127" s="341" t="s">
        <v>284</v>
      </c>
      <c r="H127" s="341"/>
      <c r="I127" s="341"/>
    </row>
    <row r="128" spans="2:9" ht="13.5" thickBot="1" x14ac:dyDescent="0.25">
      <c r="B128" s="191">
        <v>1</v>
      </c>
      <c r="C128" s="162">
        <v>0.3</v>
      </c>
      <c r="D128" s="163">
        <v>1.95</v>
      </c>
      <c r="E128" s="162">
        <v>0.15</v>
      </c>
      <c r="F128" s="162">
        <f t="shared" si="6"/>
        <v>1.4624999999999999</v>
      </c>
      <c r="G128" s="341" t="s">
        <v>258</v>
      </c>
      <c r="H128" s="341"/>
      <c r="I128" s="341"/>
    </row>
    <row r="129" spans="2:9" ht="13.5" thickBot="1" x14ac:dyDescent="0.25">
      <c r="B129" s="191">
        <v>1</v>
      </c>
      <c r="C129" s="162">
        <v>0.3</v>
      </c>
      <c r="D129" s="163">
        <v>1.95</v>
      </c>
      <c r="E129" s="162">
        <v>0.15</v>
      </c>
      <c r="F129" s="162">
        <f t="shared" si="6"/>
        <v>1.4624999999999999</v>
      </c>
      <c r="G129" s="341" t="s">
        <v>259</v>
      </c>
      <c r="H129" s="341"/>
      <c r="I129" s="341"/>
    </row>
    <row r="130" spans="2:9" ht="13.5" thickBot="1" x14ac:dyDescent="0.25">
      <c r="B130" s="355" t="s">
        <v>318</v>
      </c>
      <c r="C130" s="356"/>
      <c r="D130" s="356"/>
      <c r="E130" s="356"/>
      <c r="F130" s="356"/>
      <c r="G130" s="356"/>
      <c r="H130" s="356"/>
      <c r="I130" s="357"/>
    </row>
    <row r="131" spans="2:9" ht="13.5" thickBot="1" x14ac:dyDescent="0.25">
      <c r="B131" s="148" t="s">
        <v>234</v>
      </c>
      <c r="C131" s="162" t="s">
        <v>314</v>
      </c>
      <c r="D131" s="162" t="s">
        <v>255</v>
      </c>
      <c r="E131" s="162" t="s">
        <v>315</v>
      </c>
      <c r="F131" s="162" t="s">
        <v>300</v>
      </c>
      <c r="G131" s="361" t="s">
        <v>235</v>
      </c>
      <c r="H131" s="362"/>
      <c r="I131" s="363"/>
    </row>
    <row r="132" spans="2:9" ht="13.5" thickBot="1" x14ac:dyDescent="0.25">
      <c r="B132" s="190">
        <v>1</v>
      </c>
      <c r="C132" s="163">
        <v>0.7</v>
      </c>
      <c r="D132" s="163">
        <v>3.5</v>
      </c>
      <c r="E132" s="163">
        <v>1.5</v>
      </c>
      <c r="F132" s="163">
        <f>(D132+E132+D132+E132)*C132</f>
        <v>7</v>
      </c>
      <c r="G132" s="361" t="s">
        <v>307</v>
      </c>
      <c r="H132" s="362"/>
      <c r="I132" s="363"/>
    </row>
    <row r="133" spans="2:9" ht="13.5" thickBot="1" x14ac:dyDescent="0.25">
      <c r="B133" s="191">
        <v>1</v>
      </c>
      <c r="C133" s="163">
        <v>0.7</v>
      </c>
      <c r="D133" s="163">
        <v>3.5</v>
      </c>
      <c r="E133" s="163">
        <v>1.5</v>
      </c>
      <c r="F133" s="163">
        <f>(D133+E133+D133+E133)*C133</f>
        <v>7</v>
      </c>
      <c r="G133" s="361" t="s">
        <v>308</v>
      </c>
      <c r="H133" s="362"/>
      <c r="I133" s="363"/>
    </row>
    <row r="134" spans="2:9" ht="13.5" thickBot="1" x14ac:dyDescent="0.25">
      <c r="G134" s="143"/>
      <c r="H134" s="143"/>
      <c r="I134" s="143"/>
    </row>
    <row r="135" spans="2:9" ht="13.5" thickBot="1" x14ac:dyDescent="0.25">
      <c r="B135" s="345" t="s">
        <v>0</v>
      </c>
      <c r="C135" s="345" t="s">
        <v>9</v>
      </c>
      <c r="D135" s="345" t="s">
        <v>1</v>
      </c>
      <c r="E135" s="345" t="s">
        <v>189</v>
      </c>
      <c r="F135" s="345" t="s">
        <v>8</v>
      </c>
    </row>
    <row r="136" spans="2:9" ht="13.5" thickBot="1" x14ac:dyDescent="0.25">
      <c r="B136" s="345"/>
      <c r="C136" s="345"/>
      <c r="D136" s="345"/>
      <c r="E136" s="345"/>
      <c r="F136" s="345"/>
    </row>
    <row r="137" spans="2:9" ht="24.75" thickBot="1" x14ac:dyDescent="0.25">
      <c r="B137" s="140" t="s">
        <v>73</v>
      </c>
      <c r="C137" s="140" t="s">
        <v>555</v>
      </c>
      <c r="D137" s="135" t="s">
        <v>469</v>
      </c>
      <c r="E137" s="133" t="s">
        <v>10</v>
      </c>
      <c r="F137" s="134">
        <f>SUM(F139:F146)</f>
        <v>4.32</v>
      </c>
    </row>
    <row r="138" spans="2:9" ht="13.5" thickBot="1" x14ac:dyDescent="0.25">
      <c r="B138" s="148" t="s">
        <v>234</v>
      </c>
      <c r="C138" s="162" t="s">
        <v>314</v>
      </c>
      <c r="D138" s="162" t="s">
        <v>255</v>
      </c>
      <c r="E138" s="162" t="s">
        <v>315</v>
      </c>
      <c r="F138" s="162" t="s">
        <v>300</v>
      </c>
      <c r="G138" s="361" t="s">
        <v>235</v>
      </c>
      <c r="H138" s="362"/>
      <c r="I138" s="363"/>
    </row>
    <row r="139" spans="2:9" ht="13.5" thickBot="1" x14ac:dyDescent="0.25">
      <c r="B139" s="190">
        <v>1</v>
      </c>
      <c r="C139" s="162">
        <v>0.6</v>
      </c>
      <c r="D139" s="162">
        <v>0.3</v>
      </c>
      <c r="E139" s="162">
        <v>0.15</v>
      </c>
      <c r="F139" s="162">
        <f>(D139+E139+D139+E139)*C139</f>
        <v>0.54</v>
      </c>
      <c r="G139" s="341" t="s">
        <v>285</v>
      </c>
      <c r="H139" s="341"/>
      <c r="I139" s="341"/>
    </row>
    <row r="140" spans="2:9" ht="13.5" thickBot="1" x14ac:dyDescent="0.25">
      <c r="B140" s="191">
        <v>1</v>
      </c>
      <c r="C140" s="162">
        <v>0.6</v>
      </c>
      <c r="D140" s="162">
        <v>0.3</v>
      </c>
      <c r="E140" s="162">
        <v>0.15</v>
      </c>
      <c r="F140" s="162">
        <f t="shared" ref="F140:F146" si="7">(D140+E140+D140+E140)*C140</f>
        <v>0.54</v>
      </c>
      <c r="G140" s="341" t="s">
        <v>286</v>
      </c>
      <c r="H140" s="341"/>
      <c r="I140" s="341"/>
    </row>
    <row r="141" spans="2:9" ht="13.5" thickBot="1" x14ac:dyDescent="0.25">
      <c r="B141" s="191">
        <v>1</v>
      </c>
      <c r="C141" s="162">
        <v>0.6</v>
      </c>
      <c r="D141" s="162">
        <v>0.3</v>
      </c>
      <c r="E141" s="162">
        <v>0.15</v>
      </c>
      <c r="F141" s="162">
        <f t="shared" si="7"/>
        <v>0.54</v>
      </c>
      <c r="G141" s="341" t="s">
        <v>287</v>
      </c>
      <c r="H141" s="341"/>
      <c r="I141" s="341"/>
    </row>
    <row r="142" spans="2:9" ht="13.5" thickBot="1" x14ac:dyDescent="0.25">
      <c r="B142" s="192">
        <v>1</v>
      </c>
      <c r="C142" s="162">
        <v>0.6</v>
      </c>
      <c r="D142" s="162">
        <v>0.3</v>
      </c>
      <c r="E142" s="162">
        <v>0.15</v>
      </c>
      <c r="F142" s="162">
        <f t="shared" si="7"/>
        <v>0.54</v>
      </c>
      <c r="G142" s="341" t="s">
        <v>288</v>
      </c>
      <c r="H142" s="341"/>
      <c r="I142" s="341"/>
    </row>
    <row r="143" spans="2:9" ht="13.5" thickBot="1" x14ac:dyDescent="0.25">
      <c r="B143" s="190">
        <v>1</v>
      </c>
      <c r="C143" s="162">
        <v>0.6</v>
      </c>
      <c r="D143" s="162">
        <v>0.3</v>
      </c>
      <c r="E143" s="162">
        <v>0.15</v>
      </c>
      <c r="F143" s="162">
        <f t="shared" si="7"/>
        <v>0.54</v>
      </c>
      <c r="G143" s="341" t="s">
        <v>289</v>
      </c>
      <c r="H143" s="341"/>
      <c r="I143" s="341"/>
    </row>
    <row r="144" spans="2:9" ht="13.5" thickBot="1" x14ac:dyDescent="0.25">
      <c r="B144" s="191">
        <v>1</v>
      </c>
      <c r="C144" s="162">
        <v>0.6</v>
      </c>
      <c r="D144" s="162">
        <v>0.3</v>
      </c>
      <c r="E144" s="162">
        <v>0.15</v>
      </c>
      <c r="F144" s="162">
        <f t="shared" si="7"/>
        <v>0.54</v>
      </c>
      <c r="G144" s="341" t="s">
        <v>290</v>
      </c>
      <c r="H144" s="341"/>
      <c r="I144" s="341"/>
    </row>
    <row r="145" spans="2:10" ht="13.5" thickBot="1" x14ac:dyDescent="0.25">
      <c r="B145" s="191">
        <v>1</v>
      </c>
      <c r="C145" s="162">
        <v>0.6</v>
      </c>
      <c r="D145" s="162">
        <v>0.3</v>
      </c>
      <c r="E145" s="162">
        <v>0.15</v>
      </c>
      <c r="F145" s="162">
        <f t="shared" si="7"/>
        <v>0.54</v>
      </c>
      <c r="G145" s="341" t="s">
        <v>291</v>
      </c>
      <c r="H145" s="341"/>
      <c r="I145" s="341"/>
    </row>
    <row r="146" spans="2:10" ht="13.5" thickBot="1" x14ac:dyDescent="0.25">
      <c r="B146" s="192">
        <v>1</v>
      </c>
      <c r="C146" s="162">
        <v>0.6</v>
      </c>
      <c r="D146" s="162">
        <v>0.3</v>
      </c>
      <c r="E146" s="162">
        <v>0.15</v>
      </c>
      <c r="F146" s="162">
        <f t="shared" si="7"/>
        <v>0.54</v>
      </c>
      <c r="G146" s="341" t="s">
        <v>292</v>
      </c>
      <c r="H146" s="341"/>
      <c r="I146" s="341"/>
    </row>
    <row r="147" spans="2:10" ht="13.5" thickBot="1" x14ac:dyDescent="0.25"/>
    <row r="148" spans="2:10" ht="13.5" thickBot="1" x14ac:dyDescent="0.25">
      <c r="B148" s="345" t="s">
        <v>0</v>
      </c>
      <c r="C148" s="345" t="s">
        <v>9</v>
      </c>
      <c r="D148" s="345" t="s">
        <v>1</v>
      </c>
      <c r="E148" s="345" t="s">
        <v>189</v>
      </c>
      <c r="F148" s="345" t="s">
        <v>8</v>
      </c>
      <c r="G148" s="143"/>
      <c r="H148" s="143"/>
      <c r="I148" s="143"/>
    </row>
    <row r="149" spans="2:10" ht="13.5" thickBot="1" x14ac:dyDescent="0.25">
      <c r="B149" s="345"/>
      <c r="C149" s="345"/>
      <c r="D149" s="345"/>
      <c r="E149" s="345"/>
      <c r="F149" s="345"/>
      <c r="G149" s="143"/>
      <c r="H149" s="143"/>
      <c r="I149" s="143"/>
    </row>
    <row r="150" spans="2:10" ht="24.75" thickBot="1" x14ac:dyDescent="0.25">
      <c r="B150" s="140" t="s">
        <v>178</v>
      </c>
      <c r="C150" s="140" t="s">
        <v>470</v>
      </c>
      <c r="D150" s="135" t="s">
        <v>471</v>
      </c>
      <c r="E150" s="154" t="s">
        <v>58</v>
      </c>
      <c r="F150" s="155">
        <f>SUM(H153:H160)+SUM(F163:F173)+SUM(F176:F177)</f>
        <v>10.296732055938755</v>
      </c>
      <c r="G150" s="143"/>
      <c r="H150" s="143"/>
      <c r="I150" s="143"/>
    </row>
    <row r="151" spans="2:10" ht="13.5" thickBot="1" x14ac:dyDescent="0.25">
      <c r="B151" s="338" t="s">
        <v>278</v>
      </c>
      <c r="C151" s="339"/>
      <c r="D151" s="339"/>
      <c r="E151" s="339"/>
      <c r="F151" s="339"/>
      <c r="G151" s="339"/>
      <c r="H151" s="339"/>
      <c r="I151" s="340"/>
    </row>
    <row r="152" spans="2:10" ht="48.75" thickBot="1" x14ac:dyDescent="0.25">
      <c r="B152" s="148" t="s">
        <v>261</v>
      </c>
      <c r="C152" s="148" t="s">
        <v>262</v>
      </c>
      <c r="D152" s="148" t="s">
        <v>263</v>
      </c>
      <c r="E152" s="148" t="s">
        <v>264</v>
      </c>
      <c r="F152" s="148" t="s">
        <v>265</v>
      </c>
      <c r="G152" s="148" t="s">
        <v>266</v>
      </c>
      <c r="H152" s="148" t="s">
        <v>267</v>
      </c>
      <c r="I152" s="148" t="s">
        <v>268</v>
      </c>
    </row>
    <row r="153" spans="2:10" ht="13.5" thickBot="1" x14ac:dyDescent="0.25">
      <c r="B153" s="144">
        <v>0.35</v>
      </c>
      <c r="C153" s="163">
        <v>0.2</v>
      </c>
      <c r="D153" s="163">
        <v>0.8</v>
      </c>
      <c r="E153" s="163">
        <v>0.8</v>
      </c>
      <c r="F153" s="163">
        <v>0.4</v>
      </c>
      <c r="G153" s="163">
        <v>0.2</v>
      </c>
      <c r="H153" s="163">
        <f>((F153-G153)/3)*((D153*E153)+(B153*C153)+SQRT(D153*E153*B153*C153))+(D153*E153*G153)</f>
        <v>0.18944400699234451</v>
      </c>
      <c r="I153" s="182" t="s">
        <v>269</v>
      </c>
    </row>
    <row r="154" spans="2:10" ht="13.5" thickBot="1" x14ac:dyDescent="0.25">
      <c r="B154" s="144">
        <v>0.35</v>
      </c>
      <c r="C154" s="163">
        <v>0.2</v>
      </c>
      <c r="D154" s="163">
        <v>0.8</v>
      </c>
      <c r="E154" s="163">
        <v>0.8</v>
      </c>
      <c r="F154" s="163">
        <v>0.4</v>
      </c>
      <c r="G154" s="163">
        <v>0.2</v>
      </c>
      <c r="H154" s="163">
        <f t="shared" ref="H154:H160" si="8">((F154-G154)/3)*((D154*E154)+(B154*C154)+SQRT(D154*E154*B154*C154))+(D154*E154*G154)</f>
        <v>0.18944400699234451</v>
      </c>
      <c r="I154" s="182" t="s">
        <v>270</v>
      </c>
    </row>
    <row r="155" spans="2:10" ht="13.5" thickBot="1" x14ac:dyDescent="0.25">
      <c r="B155" s="144">
        <v>0.35</v>
      </c>
      <c r="C155" s="163">
        <v>0.2</v>
      </c>
      <c r="D155" s="163">
        <v>0.8</v>
      </c>
      <c r="E155" s="163">
        <v>0.8</v>
      </c>
      <c r="F155" s="163">
        <v>0.4</v>
      </c>
      <c r="G155" s="163">
        <v>0.2</v>
      </c>
      <c r="H155" s="163">
        <f t="shared" si="8"/>
        <v>0.18944400699234451</v>
      </c>
      <c r="I155" s="182" t="s">
        <v>271</v>
      </c>
    </row>
    <row r="156" spans="2:10" ht="13.5" thickBot="1" x14ac:dyDescent="0.25">
      <c r="B156" s="144">
        <v>0.35</v>
      </c>
      <c r="C156" s="163">
        <v>0.2</v>
      </c>
      <c r="D156" s="163">
        <v>0.8</v>
      </c>
      <c r="E156" s="163">
        <v>0.8</v>
      </c>
      <c r="F156" s="163">
        <v>0.4</v>
      </c>
      <c r="G156" s="163">
        <v>0.2</v>
      </c>
      <c r="H156" s="163">
        <f t="shared" si="8"/>
        <v>0.18944400699234451</v>
      </c>
      <c r="I156" s="182" t="s">
        <v>272</v>
      </c>
    </row>
    <row r="157" spans="2:10" ht="13.5" thickBot="1" x14ac:dyDescent="0.25">
      <c r="B157" s="144">
        <v>0.35</v>
      </c>
      <c r="C157" s="163">
        <v>0.2</v>
      </c>
      <c r="D157" s="163">
        <v>0.8</v>
      </c>
      <c r="E157" s="163">
        <v>0.8</v>
      </c>
      <c r="F157" s="163">
        <v>0.4</v>
      </c>
      <c r="G157" s="163">
        <v>0.2</v>
      </c>
      <c r="H157" s="163">
        <f t="shared" si="8"/>
        <v>0.18944400699234451</v>
      </c>
      <c r="I157" s="182" t="s">
        <v>273</v>
      </c>
    </row>
    <row r="158" spans="2:10" ht="13.5" thickBot="1" x14ac:dyDescent="0.25">
      <c r="B158" s="144">
        <v>0.35</v>
      </c>
      <c r="C158" s="163">
        <v>0.2</v>
      </c>
      <c r="D158" s="163">
        <v>0.8</v>
      </c>
      <c r="E158" s="163">
        <v>0.8</v>
      </c>
      <c r="F158" s="163">
        <v>0.4</v>
      </c>
      <c r="G158" s="163">
        <v>0.2</v>
      </c>
      <c r="H158" s="163">
        <f t="shared" si="8"/>
        <v>0.18944400699234451</v>
      </c>
      <c r="I158" s="163" t="s">
        <v>274</v>
      </c>
    </row>
    <row r="159" spans="2:10" ht="13.5" thickBot="1" x14ac:dyDescent="0.25">
      <c r="B159" s="144">
        <v>0.35</v>
      </c>
      <c r="C159" s="163">
        <v>0.2</v>
      </c>
      <c r="D159" s="163">
        <v>0.8</v>
      </c>
      <c r="E159" s="163">
        <v>0.8</v>
      </c>
      <c r="F159" s="163">
        <v>0.4</v>
      </c>
      <c r="G159" s="163">
        <v>0.2</v>
      </c>
      <c r="H159" s="163">
        <f t="shared" si="8"/>
        <v>0.18944400699234451</v>
      </c>
      <c r="I159" s="163" t="s">
        <v>275</v>
      </c>
    </row>
    <row r="160" spans="2:10" ht="13.5" thickBot="1" x14ac:dyDescent="0.25">
      <c r="B160" s="144">
        <v>0.35</v>
      </c>
      <c r="C160" s="163">
        <v>0.2</v>
      </c>
      <c r="D160" s="163">
        <v>0.8</v>
      </c>
      <c r="E160" s="163">
        <v>0.8</v>
      </c>
      <c r="F160" s="163">
        <v>0.4</v>
      </c>
      <c r="G160" s="163">
        <v>0.2</v>
      </c>
      <c r="H160" s="163">
        <f t="shared" si="8"/>
        <v>0.18944400699234451</v>
      </c>
      <c r="I160" s="163" t="s">
        <v>276</v>
      </c>
      <c r="J160" s="156"/>
    </row>
    <row r="161" spans="2:9" ht="13.5" thickBot="1" x14ac:dyDescent="0.25">
      <c r="B161" s="355" t="s">
        <v>277</v>
      </c>
      <c r="C161" s="356"/>
      <c r="D161" s="356"/>
      <c r="E161" s="356"/>
      <c r="F161" s="356"/>
      <c r="G161" s="356"/>
      <c r="H161" s="356"/>
      <c r="I161" s="357"/>
    </row>
    <row r="162" spans="2:9" ht="13.5" customHeight="1" thickBot="1" x14ac:dyDescent="0.25">
      <c r="B162" s="148" t="s">
        <v>234</v>
      </c>
      <c r="C162" s="162" t="s">
        <v>314</v>
      </c>
      <c r="D162" s="162" t="s">
        <v>255</v>
      </c>
      <c r="E162" s="162" t="s">
        <v>315</v>
      </c>
      <c r="F162" s="162" t="s">
        <v>300</v>
      </c>
      <c r="G162" s="361" t="s">
        <v>235</v>
      </c>
      <c r="H162" s="362"/>
      <c r="I162" s="363"/>
    </row>
    <row r="163" spans="2:9" ht="13.5" thickBot="1" x14ac:dyDescent="0.25">
      <c r="B163" s="190">
        <v>1</v>
      </c>
      <c r="C163" s="162">
        <v>0.3</v>
      </c>
      <c r="D163" s="162">
        <v>1.55</v>
      </c>
      <c r="E163" s="162">
        <v>0.15</v>
      </c>
      <c r="F163" s="162">
        <f>B163*C163*D163*E163</f>
        <v>6.9749999999999993E-2</v>
      </c>
      <c r="G163" s="341" t="s">
        <v>249</v>
      </c>
      <c r="H163" s="341"/>
      <c r="I163" s="341"/>
    </row>
    <row r="164" spans="2:9" ht="13.5" customHeight="1" thickBot="1" x14ac:dyDescent="0.25">
      <c r="B164" s="190">
        <v>1</v>
      </c>
      <c r="C164" s="162">
        <v>0.3</v>
      </c>
      <c r="D164" s="162">
        <v>3.25</v>
      </c>
      <c r="E164" s="162">
        <v>0.15</v>
      </c>
      <c r="F164" s="162">
        <f t="shared" ref="F164:F173" si="9">B164*C164*D164*E164</f>
        <v>0.14624999999999999</v>
      </c>
      <c r="G164" s="341" t="s">
        <v>250</v>
      </c>
      <c r="H164" s="341"/>
      <c r="I164" s="341"/>
    </row>
    <row r="165" spans="2:9" ht="13.5" customHeight="1" thickBot="1" x14ac:dyDescent="0.25">
      <c r="B165" s="190">
        <v>1</v>
      </c>
      <c r="C165" s="162">
        <v>0.3</v>
      </c>
      <c r="D165" s="162">
        <v>1.55</v>
      </c>
      <c r="E165" s="162">
        <v>0.15</v>
      </c>
      <c r="F165" s="162">
        <f t="shared" si="9"/>
        <v>6.9749999999999993E-2</v>
      </c>
      <c r="G165" s="341" t="s">
        <v>251</v>
      </c>
      <c r="H165" s="341"/>
      <c r="I165" s="341"/>
    </row>
    <row r="166" spans="2:9" ht="13.5" customHeight="1" thickBot="1" x14ac:dyDescent="0.25">
      <c r="B166" s="190">
        <v>1</v>
      </c>
      <c r="C166" s="162">
        <v>0.3</v>
      </c>
      <c r="D166" s="162">
        <v>1.55</v>
      </c>
      <c r="E166" s="162">
        <v>0.15</v>
      </c>
      <c r="F166" s="162">
        <f t="shared" si="9"/>
        <v>6.9749999999999993E-2</v>
      </c>
      <c r="G166" s="341" t="s">
        <v>252</v>
      </c>
      <c r="H166" s="341"/>
      <c r="I166" s="341"/>
    </row>
    <row r="167" spans="2:9" ht="13.5" customHeight="1" thickBot="1" x14ac:dyDescent="0.25">
      <c r="B167" s="190">
        <v>1</v>
      </c>
      <c r="C167" s="162">
        <v>0.3</v>
      </c>
      <c r="D167" s="162">
        <v>3.25</v>
      </c>
      <c r="E167" s="162">
        <v>0.15</v>
      </c>
      <c r="F167" s="162">
        <f t="shared" si="9"/>
        <v>0.14624999999999999</v>
      </c>
      <c r="G167" s="341" t="s">
        <v>254</v>
      </c>
      <c r="H167" s="341"/>
      <c r="I167" s="341"/>
    </row>
    <row r="168" spans="2:9" ht="13.5" customHeight="1" thickBot="1" x14ac:dyDescent="0.25">
      <c r="B168" s="190">
        <v>1</v>
      </c>
      <c r="C168" s="162">
        <v>0.3</v>
      </c>
      <c r="D168" s="162">
        <v>1.55</v>
      </c>
      <c r="E168" s="162">
        <v>0.15</v>
      </c>
      <c r="F168" s="162">
        <f t="shared" si="9"/>
        <v>6.9749999999999993E-2</v>
      </c>
      <c r="G168" s="341" t="s">
        <v>253</v>
      </c>
      <c r="H168" s="341"/>
      <c r="I168" s="341"/>
    </row>
    <row r="169" spans="2:9" ht="13.5" customHeight="1" thickBot="1" x14ac:dyDescent="0.25">
      <c r="B169" s="190">
        <v>1</v>
      </c>
      <c r="C169" s="162">
        <v>0.3</v>
      </c>
      <c r="D169" s="163">
        <v>1.95</v>
      </c>
      <c r="E169" s="162">
        <v>0.15</v>
      </c>
      <c r="F169" s="162">
        <f t="shared" si="9"/>
        <v>8.7749999999999995E-2</v>
      </c>
      <c r="G169" s="341" t="s">
        <v>256</v>
      </c>
      <c r="H169" s="341"/>
      <c r="I169" s="341"/>
    </row>
    <row r="170" spans="2:9" ht="13.5" customHeight="1" thickBot="1" x14ac:dyDescent="0.25">
      <c r="B170" s="190">
        <v>1</v>
      </c>
      <c r="C170" s="162">
        <v>0.3</v>
      </c>
      <c r="D170" s="163">
        <v>1.95</v>
      </c>
      <c r="E170" s="162">
        <v>0.15</v>
      </c>
      <c r="F170" s="162">
        <f t="shared" si="9"/>
        <v>8.7749999999999995E-2</v>
      </c>
      <c r="G170" s="341" t="s">
        <v>257</v>
      </c>
      <c r="H170" s="341"/>
      <c r="I170" s="341"/>
    </row>
    <row r="171" spans="2:9" ht="13.5" customHeight="1" thickBot="1" x14ac:dyDescent="0.25">
      <c r="B171" s="190">
        <v>1</v>
      </c>
      <c r="C171" s="162">
        <v>0.3</v>
      </c>
      <c r="D171" s="163">
        <f>1.8*3.14</f>
        <v>5.6520000000000001</v>
      </c>
      <c r="E171" s="162">
        <v>0.3</v>
      </c>
      <c r="F171" s="162">
        <f t="shared" si="9"/>
        <v>0.50868000000000002</v>
      </c>
      <c r="G171" s="341" t="s">
        <v>284</v>
      </c>
      <c r="H171" s="341"/>
      <c r="I171" s="341"/>
    </row>
    <row r="172" spans="2:9" ht="13.5" customHeight="1" thickBot="1" x14ac:dyDescent="0.25">
      <c r="B172" s="190">
        <v>1</v>
      </c>
      <c r="C172" s="162">
        <v>0.3</v>
      </c>
      <c r="D172" s="163">
        <v>1.95</v>
      </c>
      <c r="E172" s="162">
        <v>0.15</v>
      </c>
      <c r="F172" s="162">
        <f t="shared" si="9"/>
        <v>8.7749999999999995E-2</v>
      </c>
      <c r="G172" s="341" t="s">
        <v>258</v>
      </c>
      <c r="H172" s="341"/>
      <c r="I172" s="341"/>
    </row>
    <row r="173" spans="2:9" ht="13.5" customHeight="1" thickBot="1" x14ac:dyDescent="0.25">
      <c r="B173" s="190">
        <v>1</v>
      </c>
      <c r="C173" s="162">
        <v>0.3</v>
      </c>
      <c r="D173" s="163">
        <v>1.95</v>
      </c>
      <c r="E173" s="162">
        <v>0.15</v>
      </c>
      <c r="F173" s="162">
        <f t="shared" si="9"/>
        <v>8.7749999999999995E-2</v>
      </c>
      <c r="G173" s="341" t="s">
        <v>259</v>
      </c>
      <c r="H173" s="341"/>
      <c r="I173" s="341"/>
    </row>
    <row r="174" spans="2:9" ht="13.5" thickBot="1" x14ac:dyDescent="0.25">
      <c r="B174" s="355" t="s">
        <v>318</v>
      </c>
      <c r="C174" s="356"/>
      <c r="D174" s="356"/>
      <c r="E174" s="356"/>
      <c r="F174" s="356"/>
      <c r="G174" s="356"/>
      <c r="H174" s="356"/>
      <c r="I174" s="357"/>
    </row>
    <row r="175" spans="2:9" ht="13.5" thickBot="1" x14ac:dyDescent="0.25">
      <c r="B175" s="148" t="s">
        <v>234</v>
      </c>
      <c r="C175" s="162" t="s">
        <v>314</v>
      </c>
      <c r="D175" s="162" t="s">
        <v>255</v>
      </c>
      <c r="E175" s="162" t="s">
        <v>315</v>
      </c>
      <c r="F175" s="162" t="s">
        <v>300</v>
      </c>
      <c r="G175" s="361" t="s">
        <v>235</v>
      </c>
      <c r="H175" s="362"/>
      <c r="I175" s="363"/>
    </row>
    <row r="176" spans="2:9" ht="13.5" thickBot="1" x14ac:dyDescent="0.25">
      <c r="B176" s="190">
        <v>1</v>
      </c>
      <c r="C176" s="162">
        <v>0.7</v>
      </c>
      <c r="D176" s="162">
        <v>3.5</v>
      </c>
      <c r="E176" s="162">
        <v>1.5</v>
      </c>
      <c r="F176" s="162">
        <f>B176*C176*D176*E176</f>
        <v>3.6749999999999998</v>
      </c>
      <c r="G176" s="341" t="s">
        <v>269</v>
      </c>
      <c r="H176" s="341"/>
      <c r="I176" s="341"/>
    </row>
    <row r="177" spans="2:9" ht="13.5" thickBot="1" x14ac:dyDescent="0.25">
      <c r="B177" s="259">
        <v>1</v>
      </c>
      <c r="C177" s="253">
        <v>0.7</v>
      </c>
      <c r="D177" s="253">
        <v>3.5</v>
      </c>
      <c r="E177" s="253">
        <v>1.5</v>
      </c>
      <c r="F177" s="253">
        <f>B177*C177*D177*E177</f>
        <v>3.6749999999999998</v>
      </c>
      <c r="G177" s="341" t="s">
        <v>270</v>
      </c>
      <c r="H177" s="341"/>
      <c r="I177" s="341"/>
    </row>
    <row r="178" spans="2:9" ht="13.5" thickBot="1" x14ac:dyDescent="0.25">
      <c r="B178" s="149"/>
      <c r="C178" s="142"/>
      <c r="D178" s="142"/>
      <c r="E178" s="142"/>
      <c r="F178" s="142"/>
      <c r="G178" s="142"/>
      <c r="H178" s="142"/>
      <c r="I178" s="142"/>
    </row>
    <row r="179" spans="2:9" ht="13.5" thickBot="1" x14ac:dyDescent="0.25">
      <c r="B179" s="345" t="s">
        <v>0</v>
      </c>
      <c r="C179" s="345" t="s">
        <v>9</v>
      </c>
      <c r="D179" s="345" t="s">
        <v>1</v>
      </c>
      <c r="E179" s="345" t="s">
        <v>189</v>
      </c>
      <c r="F179" s="345" t="s">
        <v>8</v>
      </c>
    </row>
    <row r="180" spans="2:9" ht="13.5" thickBot="1" x14ac:dyDescent="0.25">
      <c r="B180" s="345"/>
      <c r="C180" s="345"/>
      <c r="D180" s="345"/>
      <c r="E180" s="345"/>
      <c r="F180" s="345"/>
    </row>
    <row r="181" spans="2:9" ht="24.75" thickBot="1" x14ac:dyDescent="0.25">
      <c r="B181" s="140" t="s">
        <v>74</v>
      </c>
      <c r="C181" s="140">
        <v>95241</v>
      </c>
      <c r="D181" s="135" t="s">
        <v>460</v>
      </c>
      <c r="E181" s="133" t="s">
        <v>10</v>
      </c>
      <c r="F181" s="134">
        <f>SUM(F184:F191)+SUM(F194:F195)</f>
        <v>28.739999999999995</v>
      </c>
    </row>
    <row r="182" spans="2:9" ht="13.5" thickBot="1" x14ac:dyDescent="0.25">
      <c r="B182" s="338" t="s">
        <v>278</v>
      </c>
      <c r="C182" s="339"/>
      <c r="D182" s="339"/>
      <c r="E182" s="339"/>
      <c r="F182" s="339"/>
      <c r="G182" s="339"/>
      <c r="H182" s="339"/>
      <c r="I182" s="340"/>
    </row>
    <row r="183" spans="2:9" ht="13.5" customHeight="1" thickBot="1" x14ac:dyDescent="0.25">
      <c r="B183" s="148" t="s">
        <v>234</v>
      </c>
      <c r="C183" s="162" t="s">
        <v>314</v>
      </c>
      <c r="D183" s="162" t="s">
        <v>255</v>
      </c>
      <c r="E183" s="162" t="s">
        <v>315</v>
      </c>
      <c r="F183" s="162" t="s">
        <v>300</v>
      </c>
      <c r="G183" s="361" t="s">
        <v>235</v>
      </c>
      <c r="H183" s="362"/>
      <c r="I183" s="363"/>
    </row>
    <row r="184" spans="2:9" ht="13.5" thickBot="1" x14ac:dyDescent="0.25">
      <c r="B184" s="190">
        <v>1</v>
      </c>
      <c r="C184" s="162"/>
      <c r="D184" s="162">
        <v>1.2</v>
      </c>
      <c r="E184" s="162">
        <v>1.2</v>
      </c>
      <c r="F184" s="162">
        <f>D184*E184</f>
        <v>1.44</v>
      </c>
      <c r="G184" s="341" t="s">
        <v>269</v>
      </c>
      <c r="H184" s="341"/>
      <c r="I184" s="341"/>
    </row>
    <row r="185" spans="2:9" ht="13.5" thickBot="1" x14ac:dyDescent="0.25">
      <c r="B185" s="190">
        <v>1</v>
      </c>
      <c r="C185" s="162"/>
      <c r="D185" s="162">
        <v>1.2</v>
      </c>
      <c r="E185" s="162">
        <v>1.2</v>
      </c>
      <c r="F185" s="162">
        <f t="shared" ref="F185:F191" si="10">D185*E185</f>
        <v>1.44</v>
      </c>
      <c r="G185" s="341" t="s">
        <v>270</v>
      </c>
      <c r="H185" s="341"/>
      <c r="I185" s="341"/>
    </row>
    <row r="186" spans="2:9" ht="13.5" thickBot="1" x14ac:dyDescent="0.25">
      <c r="B186" s="190">
        <v>1</v>
      </c>
      <c r="C186" s="162"/>
      <c r="D186" s="162">
        <v>1.2</v>
      </c>
      <c r="E186" s="162">
        <v>1.2</v>
      </c>
      <c r="F186" s="162">
        <f t="shared" si="10"/>
        <v>1.44</v>
      </c>
      <c r="G186" s="341" t="s">
        <v>271</v>
      </c>
      <c r="H186" s="341"/>
      <c r="I186" s="341"/>
    </row>
    <row r="187" spans="2:9" ht="13.5" thickBot="1" x14ac:dyDescent="0.25">
      <c r="B187" s="190">
        <v>1</v>
      </c>
      <c r="C187" s="162"/>
      <c r="D187" s="162">
        <v>1.2</v>
      </c>
      <c r="E187" s="162">
        <v>1.2</v>
      </c>
      <c r="F187" s="162">
        <f t="shared" si="10"/>
        <v>1.44</v>
      </c>
      <c r="G187" s="341" t="s">
        <v>272</v>
      </c>
      <c r="H187" s="341"/>
      <c r="I187" s="341"/>
    </row>
    <row r="188" spans="2:9" ht="13.5" thickBot="1" x14ac:dyDescent="0.25">
      <c r="B188" s="190">
        <v>1</v>
      </c>
      <c r="C188" s="162"/>
      <c r="D188" s="162">
        <v>1.2</v>
      </c>
      <c r="E188" s="162">
        <v>1.2</v>
      </c>
      <c r="F188" s="162">
        <f t="shared" si="10"/>
        <v>1.44</v>
      </c>
      <c r="G188" s="341" t="s">
        <v>273</v>
      </c>
      <c r="H188" s="341"/>
      <c r="I188" s="341"/>
    </row>
    <row r="189" spans="2:9" ht="13.5" thickBot="1" x14ac:dyDescent="0.25">
      <c r="B189" s="190">
        <v>1</v>
      </c>
      <c r="C189" s="162"/>
      <c r="D189" s="162">
        <v>1.2</v>
      </c>
      <c r="E189" s="162">
        <v>1.2</v>
      </c>
      <c r="F189" s="162">
        <f t="shared" si="10"/>
        <v>1.44</v>
      </c>
      <c r="G189" s="341" t="s">
        <v>274</v>
      </c>
      <c r="H189" s="341"/>
      <c r="I189" s="341"/>
    </row>
    <row r="190" spans="2:9" ht="13.5" thickBot="1" x14ac:dyDescent="0.25">
      <c r="B190" s="190">
        <v>1</v>
      </c>
      <c r="C190" s="162"/>
      <c r="D190" s="162">
        <v>1.2</v>
      </c>
      <c r="E190" s="162">
        <v>1.2</v>
      </c>
      <c r="F190" s="162">
        <f t="shared" si="10"/>
        <v>1.44</v>
      </c>
      <c r="G190" s="341" t="s">
        <v>275</v>
      </c>
      <c r="H190" s="341"/>
      <c r="I190" s="341"/>
    </row>
    <row r="191" spans="2:9" ht="13.5" thickBot="1" x14ac:dyDescent="0.25">
      <c r="B191" s="190">
        <v>1</v>
      </c>
      <c r="C191" s="162"/>
      <c r="D191" s="162">
        <v>1.2</v>
      </c>
      <c r="E191" s="162">
        <v>1.2</v>
      </c>
      <c r="F191" s="162">
        <f t="shared" si="10"/>
        <v>1.44</v>
      </c>
      <c r="G191" s="341" t="s">
        <v>276</v>
      </c>
      <c r="H191" s="341"/>
      <c r="I191" s="341"/>
    </row>
    <row r="192" spans="2:9" ht="13.5" thickBot="1" x14ac:dyDescent="0.25">
      <c r="B192" s="355" t="s">
        <v>318</v>
      </c>
      <c r="C192" s="356"/>
      <c r="D192" s="356"/>
      <c r="E192" s="356"/>
      <c r="F192" s="356"/>
      <c r="G192" s="356"/>
      <c r="H192" s="356"/>
      <c r="I192" s="357"/>
    </row>
    <row r="193" spans="2:10" ht="13.5" thickBot="1" x14ac:dyDescent="0.25">
      <c r="B193" s="148" t="s">
        <v>234</v>
      </c>
      <c r="C193" s="162" t="s">
        <v>314</v>
      </c>
      <c r="D193" s="162" t="s">
        <v>255</v>
      </c>
      <c r="E193" s="162" t="s">
        <v>315</v>
      </c>
      <c r="F193" s="162" t="s">
        <v>300</v>
      </c>
      <c r="G193" s="361" t="s">
        <v>235</v>
      </c>
      <c r="H193" s="362"/>
      <c r="I193" s="363"/>
    </row>
    <row r="194" spans="2:10" ht="13.5" thickBot="1" x14ac:dyDescent="0.25">
      <c r="B194" s="190">
        <v>1</v>
      </c>
      <c r="C194" s="163"/>
      <c r="D194" s="163">
        <v>4.0999999999999996</v>
      </c>
      <c r="E194" s="163">
        <v>2.1</v>
      </c>
      <c r="F194" s="163">
        <f>D194*E194</f>
        <v>8.61</v>
      </c>
      <c r="G194" s="361" t="s">
        <v>307</v>
      </c>
      <c r="H194" s="362"/>
      <c r="I194" s="363"/>
    </row>
    <row r="195" spans="2:10" ht="13.5" thickBot="1" x14ac:dyDescent="0.25">
      <c r="B195" s="190">
        <v>1</v>
      </c>
      <c r="C195" s="163"/>
      <c r="D195" s="163">
        <v>4.0999999999999996</v>
      </c>
      <c r="E195" s="163">
        <v>2.1</v>
      </c>
      <c r="F195" s="163">
        <f>D195*E195</f>
        <v>8.61</v>
      </c>
      <c r="G195" s="361" t="s">
        <v>308</v>
      </c>
      <c r="H195" s="362"/>
      <c r="I195" s="363"/>
    </row>
    <row r="196" spans="2:10" ht="13.5" thickBot="1" x14ac:dyDescent="0.25">
      <c r="G196" s="143"/>
      <c r="H196" s="143"/>
      <c r="I196" s="143"/>
    </row>
    <row r="197" spans="2:10" ht="13.5" thickBot="1" x14ac:dyDescent="0.25">
      <c r="B197" s="345" t="s">
        <v>0</v>
      </c>
      <c r="C197" s="345" t="s">
        <v>9</v>
      </c>
      <c r="D197" s="345" t="s">
        <v>1</v>
      </c>
      <c r="E197" s="345" t="s">
        <v>189</v>
      </c>
      <c r="F197" s="347" t="s">
        <v>8</v>
      </c>
      <c r="G197" s="348"/>
      <c r="H197" s="143"/>
      <c r="I197" s="143"/>
    </row>
    <row r="198" spans="2:10" ht="13.5" thickBot="1" x14ac:dyDescent="0.25">
      <c r="B198" s="345"/>
      <c r="C198" s="345"/>
      <c r="D198" s="345"/>
      <c r="E198" s="345"/>
      <c r="F198" s="347"/>
      <c r="G198" s="348"/>
      <c r="H198" s="143"/>
      <c r="I198" s="143"/>
    </row>
    <row r="199" spans="2:10" ht="24.75" thickBot="1" x14ac:dyDescent="0.25">
      <c r="B199" s="140" t="s">
        <v>465</v>
      </c>
      <c r="C199" s="260"/>
      <c r="D199" s="205" t="s">
        <v>466</v>
      </c>
      <c r="E199" s="133" t="s">
        <v>440</v>
      </c>
      <c r="F199" s="336">
        <f>SUM(G201:G244)+SUM(G246:G249)</f>
        <v>497.2800499999999</v>
      </c>
      <c r="G199" s="337"/>
      <c r="H199" s="143"/>
      <c r="I199" s="143"/>
    </row>
    <row r="200" spans="2:10" ht="13.5" customHeight="1" thickBot="1" x14ac:dyDescent="0.25">
      <c r="B200" s="132" t="s">
        <v>234</v>
      </c>
      <c r="C200" s="132" t="s">
        <v>243</v>
      </c>
      <c r="D200" s="132" t="s">
        <v>255</v>
      </c>
      <c r="E200" s="132" t="s">
        <v>245</v>
      </c>
      <c r="F200" s="132" t="s">
        <v>317</v>
      </c>
      <c r="G200" s="132" t="s">
        <v>316</v>
      </c>
      <c r="H200" s="349" t="s">
        <v>235</v>
      </c>
      <c r="I200" s="350"/>
    </row>
    <row r="201" spans="2:10" ht="13.5" customHeight="1" x14ac:dyDescent="0.2">
      <c r="B201" s="190">
        <v>32</v>
      </c>
      <c r="C201" s="183" t="s">
        <v>200</v>
      </c>
      <c r="D201" s="184">
        <v>3.13</v>
      </c>
      <c r="E201" s="183">
        <v>0.61699999999999999</v>
      </c>
      <c r="F201" s="184">
        <f>B201*D201</f>
        <v>100.16</v>
      </c>
      <c r="G201" s="151">
        <f t="shared" ref="G201:G206" si="11">E201*F201</f>
        <v>61.798719999999996</v>
      </c>
      <c r="H201" s="400" t="s">
        <v>439</v>
      </c>
      <c r="I201" s="401"/>
    </row>
    <row r="202" spans="2:10" x14ac:dyDescent="0.2">
      <c r="B202" s="191">
        <v>32</v>
      </c>
      <c r="C202" s="185" t="s">
        <v>200</v>
      </c>
      <c r="D202" s="186">
        <v>1</v>
      </c>
      <c r="E202" s="185">
        <v>0.61699999999999999</v>
      </c>
      <c r="F202" s="186">
        <f t="shared" ref="F202:F230" si="12">B202*D202</f>
        <v>32</v>
      </c>
      <c r="G202" s="152">
        <f t="shared" si="11"/>
        <v>19.744</v>
      </c>
      <c r="H202" s="402"/>
      <c r="I202" s="403"/>
    </row>
    <row r="203" spans="2:10" x14ac:dyDescent="0.2">
      <c r="B203" s="191">
        <v>224</v>
      </c>
      <c r="C203" s="185" t="s">
        <v>195</v>
      </c>
      <c r="D203" s="186">
        <v>0.82</v>
      </c>
      <c r="E203" s="185">
        <v>0.154</v>
      </c>
      <c r="F203" s="186">
        <f t="shared" si="12"/>
        <v>183.67999999999998</v>
      </c>
      <c r="G203" s="152">
        <f t="shared" si="11"/>
        <v>28.286719999999995</v>
      </c>
      <c r="H203" s="402"/>
      <c r="I203" s="403"/>
    </row>
    <row r="204" spans="2:10" ht="13.5" thickBot="1" x14ac:dyDescent="0.25">
      <c r="B204" s="192">
        <v>16</v>
      </c>
      <c r="C204" s="187" t="s">
        <v>195</v>
      </c>
      <c r="D204" s="188">
        <v>0.9</v>
      </c>
      <c r="E204" s="187">
        <v>0.154</v>
      </c>
      <c r="F204" s="188">
        <f t="shared" si="12"/>
        <v>14.4</v>
      </c>
      <c r="G204" s="153">
        <f t="shared" si="11"/>
        <v>2.2176</v>
      </c>
      <c r="H204" s="404"/>
      <c r="I204" s="405"/>
    </row>
    <row r="205" spans="2:10" x14ac:dyDescent="0.2">
      <c r="B205" s="190">
        <v>48</v>
      </c>
      <c r="C205" s="183" t="s">
        <v>118</v>
      </c>
      <c r="D205" s="184">
        <v>1</v>
      </c>
      <c r="E205" s="183">
        <v>0.96299999999999997</v>
      </c>
      <c r="F205" s="184">
        <f t="shared" si="12"/>
        <v>48</v>
      </c>
      <c r="G205" s="151">
        <f t="shared" si="11"/>
        <v>46.223999999999997</v>
      </c>
      <c r="H205" s="406" t="s">
        <v>247</v>
      </c>
      <c r="I205" s="407"/>
    </row>
    <row r="206" spans="2:10" ht="13.5" thickBot="1" x14ac:dyDescent="0.25">
      <c r="B206" s="192">
        <v>40</v>
      </c>
      <c r="C206" s="187" t="s">
        <v>118</v>
      </c>
      <c r="D206" s="188">
        <v>0.96</v>
      </c>
      <c r="E206" s="187">
        <v>0.96299999999999997</v>
      </c>
      <c r="F206" s="188">
        <f t="shared" si="12"/>
        <v>38.4</v>
      </c>
      <c r="G206" s="153">
        <f t="shared" si="11"/>
        <v>36.979199999999999</v>
      </c>
      <c r="H206" s="408"/>
      <c r="I206" s="409"/>
      <c r="J206" s="156"/>
    </row>
    <row r="207" spans="2:10" ht="13.5" customHeight="1" x14ac:dyDescent="0.2">
      <c r="B207" s="190">
        <v>2</v>
      </c>
      <c r="C207" s="183" t="s">
        <v>248</v>
      </c>
      <c r="D207" s="184">
        <v>2.2000000000000002</v>
      </c>
      <c r="E207" s="183">
        <v>0.245</v>
      </c>
      <c r="F207" s="184">
        <f t="shared" si="12"/>
        <v>4.4000000000000004</v>
      </c>
      <c r="G207" s="151">
        <f t="shared" ref="G207:G212" si="13">E207*F207</f>
        <v>1.0780000000000001</v>
      </c>
      <c r="H207" s="400" t="s">
        <v>249</v>
      </c>
      <c r="I207" s="401"/>
    </row>
    <row r="208" spans="2:10" x14ac:dyDescent="0.2">
      <c r="B208" s="191">
        <v>2</v>
      </c>
      <c r="C208" s="185" t="s">
        <v>198</v>
      </c>
      <c r="D208" s="186">
        <v>2.2999999999999998</v>
      </c>
      <c r="E208" s="185">
        <v>0.39500000000000002</v>
      </c>
      <c r="F208" s="186">
        <f t="shared" si="12"/>
        <v>4.5999999999999996</v>
      </c>
      <c r="G208" s="152">
        <f t="shared" si="13"/>
        <v>1.8169999999999999</v>
      </c>
      <c r="H208" s="402"/>
      <c r="I208" s="403"/>
    </row>
    <row r="209" spans="2:9" ht="13.5" thickBot="1" x14ac:dyDescent="0.25">
      <c r="B209" s="192">
        <v>11</v>
      </c>
      <c r="C209" s="187" t="s">
        <v>195</v>
      </c>
      <c r="D209" s="188">
        <v>0.84</v>
      </c>
      <c r="E209" s="187">
        <v>0.154</v>
      </c>
      <c r="F209" s="188">
        <f t="shared" si="12"/>
        <v>9.24</v>
      </c>
      <c r="G209" s="153">
        <f t="shared" si="13"/>
        <v>1.42296</v>
      </c>
      <c r="H209" s="404"/>
      <c r="I209" s="405"/>
    </row>
    <row r="210" spans="2:9" x14ac:dyDescent="0.2">
      <c r="B210" s="190">
        <v>3</v>
      </c>
      <c r="C210" s="183" t="s">
        <v>198</v>
      </c>
      <c r="D210" s="184">
        <v>3.98</v>
      </c>
      <c r="E210" s="183">
        <v>0.39500000000000002</v>
      </c>
      <c r="F210" s="184">
        <f t="shared" si="12"/>
        <v>11.94</v>
      </c>
      <c r="G210" s="151">
        <f t="shared" si="13"/>
        <v>4.7163000000000004</v>
      </c>
      <c r="H210" s="400" t="s">
        <v>250</v>
      </c>
      <c r="I210" s="401"/>
    </row>
    <row r="211" spans="2:9" x14ac:dyDescent="0.2">
      <c r="B211" s="191">
        <v>2</v>
      </c>
      <c r="C211" s="185" t="s">
        <v>200</v>
      </c>
      <c r="D211" s="186">
        <v>3.9</v>
      </c>
      <c r="E211" s="185">
        <v>0.61699999999999999</v>
      </c>
      <c r="F211" s="186">
        <f t="shared" si="12"/>
        <v>7.8</v>
      </c>
      <c r="G211" s="152">
        <f t="shared" si="13"/>
        <v>4.8125999999999998</v>
      </c>
      <c r="H211" s="402"/>
      <c r="I211" s="403"/>
    </row>
    <row r="212" spans="2:9" x14ac:dyDescent="0.2">
      <c r="B212" s="191">
        <v>1</v>
      </c>
      <c r="C212" s="185" t="s">
        <v>200</v>
      </c>
      <c r="D212" s="186">
        <v>1.75</v>
      </c>
      <c r="E212" s="185">
        <v>0.61699999999999999</v>
      </c>
      <c r="F212" s="186">
        <f t="shared" si="12"/>
        <v>1.75</v>
      </c>
      <c r="G212" s="152">
        <f t="shared" si="13"/>
        <v>1.07975</v>
      </c>
      <c r="H212" s="402"/>
      <c r="I212" s="403"/>
    </row>
    <row r="213" spans="2:9" x14ac:dyDescent="0.2">
      <c r="B213" s="191">
        <v>26</v>
      </c>
      <c r="C213" s="185" t="s">
        <v>248</v>
      </c>
      <c r="D213" s="186">
        <v>0.94</v>
      </c>
      <c r="E213" s="185">
        <v>0.245</v>
      </c>
      <c r="F213" s="186">
        <f t="shared" si="12"/>
        <v>24.439999999999998</v>
      </c>
      <c r="G213" s="152">
        <f t="shared" ref="G213:G230" si="14">E213*F213</f>
        <v>5.9877999999999991</v>
      </c>
      <c r="H213" s="402"/>
      <c r="I213" s="403"/>
    </row>
    <row r="214" spans="2:9" ht="13.5" thickBot="1" x14ac:dyDescent="0.25">
      <c r="B214" s="192">
        <v>6</v>
      </c>
      <c r="C214" s="187" t="s">
        <v>248</v>
      </c>
      <c r="D214" s="188">
        <v>3.6</v>
      </c>
      <c r="E214" s="187">
        <v>0.245</v>
      </c>
      <c r="F214" s="188">
        <f t="shared" si="12"/>
        <v>21.6</v>
      </c>
      <c r="G214" s="153">
        <f t="shared" si="14"/>
        <v>5.2919999999999998</v>
      </c>
      <c r="H214" s="404"/>
      <c r="I214" s="405"/>
    </row>
    <row r="215" spans="2:9" x14ac:dyDescent="0.2">
      <c r="B215" s="190">
        <v>2</v>
      </c>
      <c r="C215" s="183" t="s">
        <v>248</v>
      </c>
      <c r="D215" s="184">
        <v>2.2000000000000002</v>
      </c>
      <c r="E215" s="183">
        <v>0.245</v>
      </c>
      <c r="F215" s="184">
        <f t="shared" si="12"/>
        <v>4.4000000000000004</v>
      </c>
      <c r="G215" s="151">
        <f t="shared" si="14"/>
        <v>1.0780000000000001</v>
      </c>
      <c r="H215" s="400" t="s">
        <v>251</v>
      </c>
      <c r="I215" s="401"/>
    </row>
    <row r="216" spans="2:9" x14ac:dyDescent="0.2">
      <c r="B216" s="191">
        <v>2</v>
      </c>
      <c r="C216" s="185" t="s">
        <v>198</v>
      </c>
      <c r="D216" s="186">
        <v>2.2999999999999998</v>
      </c>
      <c r="E216" s="185">
        <v>0.39500000000000002</v>
      </c>
      <c r="F216" s="186">
        <f t="shared" si="12"/>
        <v>4.5999999999999996</v>
      </c>
      <c r="G216" s="152">
        <f t="shared" si="14"/>
        <v>1.8169999999999999</v>
      </c>
      <c r="H216" s="402"/>
      <c r="I216" s="403"/>
    </row>
    <row r="217" spans="2:9" ht="13.5" thickBot="1" x14ac:dyDescent="0.25">
      <c r="B217" s="192">
        <v>11</v>
      </c>
      <c r="C217" s="187" t="s">
        <v>195</v>
      </c>
      <c r="D217" s="188">
        <v>0.84</v>
      </c>
      <c r="E217" s="187">
        <v>0.154</v>
      </c>
      <c r="F217" s="188">
        <f t="shared" si="12"/>
        <v>9.24</v>
      </c>
      <c r="G217" s="153">
        <f t="shared" si="14"/>
        <v>1.42296</v>
      </c>
      <c r="H217" s="404"/>
      <c r="I217" s="405"/>
    </row>
    <row r="218" spans="2:9" x14ac:dyDescent="0.2">
      <c r="B218" s="190">
        <v>2</v>
      </c>
      <c r="C218" s="183" t="s">
        <v>248</v>
      </c>
      <c r="D218" s="184">
        <v>2.2000000000000002</v>
      </c>
      <c r="E218" s="183">
        <v>0.245</v>
      </c>
      <c r="F218" s="184">
        <f t="shared" si="12"/>
        <v>4.4000000000000004</v>
      </c>
      <c r="G218" s="151">
        <f t="shared" si="14"/>
        <v>1.0780000000000001</v>
      </c>
      <c r="H218" s="400" t="s">
        <v>252</v>
      </c>
      <c r="I218" s="401"/>
    </row>
    <row r="219" spans="2:9" x14ac:dyDescent="0.2">
      <c r="B219" s="191">
        <v>2</v>
      </c>
      <c r="C219" s="185" t="s">
        <v>198</v>
      </c>
      <c r="D219" s="186">
        <v>2.2999999999999998</v>
      </c>
      <c r="E219" s="185">
        <v>0.39500000000000002</v>
      </c>
      <c r="F219" s="186">
        <f t="shared" si="12"/>
        <v>4.5999999999999996</v>
      </c>
      <c r="G219" s="152">
        <f t="shared" si="14"/>
        <v>1.8169999999999999</v>
      </c>
      <c r="H219" s="402"/>
      <c r="I219" s="403"/>
    </row>
    <row r="220" spans="2:9" ht="13.5" thickBot="1" x14ac:dyDescent="0.25">
      <c r="B220" s="192">
        <v>11</v>
      </c>
      <c r="C220" s="187" t="s">
        <v>195</v>
      </c>
      <c r="D220" s="188">
        <v>0.84</v>
      </c>
      <c r="E220" s="187">
        <v>0.154</v>
      </c>
      <c r="F220" s="188">
        <f t="shared" si="12"/>
        <v>9.24</v>
      </c>
      <c r="G220" s="153">
        <f t="shared" si="14"/>
        <v>1.42296</v>
      </c>
      <c r="H220" s="404"/>
      <c r="I220" s="405"/>
    </row>
    <row r="221" spans="2:9" x14ac:dyDescent="0.2">
      <c r="B221" s="190">
        <v>2</v>
      </c>
      <c r="C221" s="183" t="s">
        <v>198</v>
      </c>
      <c r="D221" s="184">
        <v>3.98</v>
      </c>
      <c r="E221" s="183">
        <v>0.39500000000000002</v>
      </c>
      <c r="F221" s="184">
        <f t="shared" si="12"/>
        <v>7.96</v>
      </c>
      <c r="G221" s="151">
        <f t="shared" si="14"/>
        <v>3.1442000000000001</v>
      </c>
      <c r="H221" s="400" t="s">
        <v>254</v>
      </c>
      <c r="I221" s="401"/>
    </row>
    <row r="222" spans="2:9" ht="13.5" customHeight="1" x14ac:dyDescent="0.2">
      <c r="B222" s="191">
        <v>2</v>
      </c>
      <c r="C222" s="185" t="s">
        <v>198</v>
      </c>
      <c r="D222" s="186">
        <v>4</v>
      </c>
      <c r="E222" s="185">
        <v>0.39500000000000002</v>
      </c>
      <c r="F222" s="186">
        <f t="shared" si="12"/>
        <v>8</v>
      </c>
      <c r="G222" s="152">
        <f t="shared" si="14"/>
        <v>3.16</v>
      </c>
      <c r="H222" s="402"/>
      <c r="I222" s="403"/>
    </row>
    <row r="223" spans="2:9" x14ac:dyDescent="0.2">
      <c r="B223" s="191">
        <v>22</v>
      </c>
      <c r="C223" s="185" t="s">
        <v>195</v>
      </c>
      <c r="D223" s="186">
        <v>0.94</v>
      </c>
      <c r="E223" s="185">
        <v>0.154</v>
      </c>
      <c r="F223" s="186">
        <f t="shared" si="12"/>
        <v>20.68</v>
      </c>
      <c r="G223" s="152">
        <f t="shared" si="14"/>
        <v>3.18472</v>
      </c>
      <c r="H223" s="402"/>
      <c r="I223" s="403"/>
    </row>
    <row r="224" spans="2:9" ht="13.5" thickBot="1" x14ac:dyDescent="0.25">
      <c r="B224" s="192">
        <v>2</v>
      </c>
      <c r="C224" s="187" t="s">
        <v>195</v>
      </c>
      <c r="D224" s="188">
        <v>3.6</v>
      </c>
      <c r="E224" s="187">
        <v>0.154</v>
      </c>
      <c r="F224" s="188">
        <f t="shared" si="12"/>
        <v>7.2</v>
      </c>
      <c r="G224" s="153">
        <f t="shared" si="14"/>
        <v>1.1088</v>
      </c>
      <c r="H224" s="404"/>
      <c r="I224" s="405"/>
    </row>
    <row r="225" spans="2:9" x14ac:dyDescent="0.2">
      <c r="B225" s="190">
        <v>2</v>
      </c>
      <c r="C225" s="183" t="s">
        <v>248</v>
      </c>
      <c r="D225" s="184">
        <v>2.2000000000000002</v>
      </c>
      <c r="E225" s="183">
        <v>0.245</v>
      </c>
      <c r="F225" s="184">
        <f t="shared" si="12"/>
        <v>4.4000000000000004</v>
      </c>
      <c r="G225" s="151">
        <f t="shared" si="14"/>
        <v>1.0780000000000001</v>
      </c>
      <c r="H225" s="400" t="s">
        <v>253</v>
      </c>
      <c r="I225" s="401"/>
    </row>
    <row r="226" spans="2:9" x14ac:dyDescent="0.2">
      <c r="B226" s="191">
        <v>2</v>
      </c>
      <c r="C226" s="185" t="s">
        <v>198</v>
      </c>
      <c r="D226" s="186">
        <v>2.2999999999999998</v>
      </c>
      <c r="E226" s="185">
        <v>0.39500000000000002</v>
      </c>
      <c r="F226" s="186">
        <f t="shared" si="12"/>
        <v>4.5999999999999996</v>
      </c>
      <c r="G226" s="152">
        <f t="shared" si="14"/>
        <v>1.8169999999999999</v>
      </c>
      <c r="H226" s="402"/>
      <c r="I226" s="403"/>
    </row>
    <row r="227" spans="2:9" ht="13.5" thickBot="1" x14ac:dyDescent="0.25">
      <c r="B227" s="192">
        <v>11</v>
      </c>
      <c r="C227" s="187" t="s">
        <v>195</v>
      </c>
      <c r="D227" s="188">
        <v>0.84</v>
      </c>
      <c r="E227" s="187">
        <v>0.154</v>
      </c>
      <c r="F227" s="188">
        <f t="shared" si="12"/>
        <v>9.24</v>
      </c>
      <c r="G227" s="153">
        <f t="shared" si="14"/>
        <v>1.42296</v>
      </c>
      <c r="H227" s="404"/>
      <c r="I227" s="405"/>
    </row>
    <row r="228" spans="2:9" x14ac:dyDescent="0.2">
      <c r="B228" s="190">
        <v>2</v>
      </c>
      <c r="C228" s="183" t="s">
        <v>198</v>
      </c>
      <c r="D228" s="184">
        <f>B201:B244</f>
        <v>2</v>
      </c>
      <c r="E228" s="183">
        <v>0.39500000000000002</v>
      </c>
      <c r="F228" s="184">
        <f t="shared" si="12"/>
        <v>4</v>
      </c>
      <c r="G228" s="151">
        <f t="shared" si="14"/>
        <v>1.58</v>
      </c>
      <c r="H228" s="400" t="s">
        <v>256</v>
      </c>
      <c r="I228" s="401"/>
    </row>
    <row r="229" spans="2:9" x14ac:dyDescent="0.2">
      <c r="B229" s="191">
        <v>2</v>
      </c>
      <c r="C229" s="185" t="s">
        <v>198</v>
      </c>
      <c r="D229" s="186">
        <v>2.6</v>
      </c>
      <c r="E229" s="185">
        <v>0.39500000000000002</v>
      </c>
      <c r="F229" s="186">
        <f t="shared" si="12"/>
        <v>5.2</v>
      </c>
      <c r="G229" s="152">
        <f t="shared" si="14"/>
        <v>2.0540000000000003</v>
      </c>
      <c r="H229" s="402"/>
      <c r="I229" s="403"/>
    </row>
    <row r="230" spans="2:9" ht="13.5" thickBot="1" x14ac:dyDescent="0.25">
      <c r="B230" s="192">
        <v>14</v>
      </c>
      <c r="C230" s="187" t="s">
        <v>195</v>
      </c>
      <c r="D230" s="188">
        <v>0.84</v>
      </c>
      <c r="E230" s="187">
        <v>0.154</v>
      </c>
      <c r="F230" s="188">
        <f t="shared" si="12"/>
        <v>11.76</v>
      </c>
      <c r="G230" s="153">
        <f t="shared" si="14"/>
        <v>1.81104</v>
      </c>
      <c r="H230" s="404"/>
      <c r="I230" s="405"/>
    </row>
    <row r="231" spans="2:9" x14ac:dyDescent="0.2">
      <c r="B231" s="190">
        <v>2</v>
      </c>
      <c r="C231" s="183" t="s">
        <v>198</v>
      </c>
      <c r="D231" s="184">
        <v>3</v>
      </c>
      <c r="E231" s="183">
        <v>0.39500000000000002</v>
      </c>
      <c r="F231" s="184">
        <f t="shared" ref="F231:F238" si="15">B231*D231</f>
        <v>6</v>
      </c>
      <c r="G231" s="151">
        <f t="shared" ref="G231:G238" si="16">E231*F231</f>
        <v>2.37</v>
      </c>
      <c r="H231" s="400" t="s">
        <v>257</v>
      </c>
      <c r="I231" s="401"/>
    </row>
    <row r="232" spans="2:9" x14ac:dyDescent="0.2">
      <c r="B232" s="191">
        <v>2</v>
      </c>
      <c r="C232" s="185" t="s">
        <v>198</v>
      </c>
      <c r="D232" s="186">
        <v>2.6</v>
      </c>
      <c r="E232" s="185">
        <v>0.39500000000000002</v>
      </c>
      <c r="F232" s="186">
        <f t="shared" si="15"/>
        <v>5.2</v>
      </c>
      <c r="G232" s="152">
        <f t="shared" si="16"/>
        <v>2.0540000000000003</v>
      </c>
      <c r="H232" s="402"/>
      <c r="I232" s="403"/>
    </row>
    <row r="233" spans="2:9" ht="13.5" thickBot="1" x14ac:dyDescent="0.25">
      <c r="B233" s="192">
        <v>14</v>
      </c>
      <c r="C233" s="187" t="s">
        <v>195</v>
      </c>
      <c r="D233" s="188">
        <v>0.84</v>
      </c>
      <c r="E233" s="187">
        <v>0.154</v>
      </c>
      <c r="F233" s="188">
        <f t="shared" si="15"/>
        <v>11.76</v>
      </c>
      <c r="G233" s="153">
        <f t="shared" si="16"/>
        <v>1.81104</v>
      </c>
      <c r="H233" s="404"/>
      <c r="I233" s="405"/>
    </row>
    <row r="234" spans="2:9" x14ac:dyDescent="0.2">
      <c r="B234" s="190">
        <v>2</v>
      </c>
      <c r="C234" s="183" t="s">
        <v>195</v>
      </c>
      <c r="D234" s="184">
        <v>2.7</v>
      </c>
      <c r="E234" s="183">
        <v>0.154</v>
      </c>
      <c r="F234" s="184">
        <f t="shared" si="15"/>
        <v>5.4</v>
      </c>
      <c r="G234" s="151">
        <f t="shared" si="16"/>
        <v>0.83160000000000001</v>
      </c>
      <c r="H234" s="400" t="s">
        <v>260</v>
      </c>
      <c r="I234" s="401"/>
    </row>
    <row r="235" spans="2:9" x14ac:dyDescent="0.2">
      <c r="B235" s="191">
        <v>4</v>
      </c>
      <c r="C235" s="185" t="s">
        <v>200</v>
      </c>
      <c r="D235" s="186">
        <v>2.0499999999999998</v>
      </c>
      <c r="E235" s="185">
        <v>0.61699999999999999</v>
      </c>
      <c r="F235" s="186">
        <f t="shared" si="15"/>
        <v>8.1999999999999993</v>
      </c>
      <c r="G235" s="152">
        <f t="shared" si="16"/>
        <v>5.0593999999999992</v>
      </c>
      <c r="H235" s="402"/>
      <c r="I235" s="403"/>
    </row>
    <row r="236" spans="2:9" x14ac:dyDescent="0.2">
      <c r="B236" s="191">
        <v>2</v>
      </c>
      <c r="C236" s="185" t="s">
        <v>198</v>
      </c>
      <c r="D236" s="186">
        <v>6</v>
      </c>
      <c r="E236" s="185">
        <v>0.39500000000000002</v>
      </c>
      <c r="F236" s="186">
        <f t="shared" si="15"/>
        <v>12</v>
      </c>
      <c r="G236" s="152">
        <f t="shared" si="16"/>
        <v>4.74</v>
      </c>
      <c r="H236" s="402"/>
      <c r="I236" s="403"/>
    </row>
    <row r="237" spans="2:9" x14ac:dyDescent="0.2">
      <c r="B237" s="191">
        <v>36</v>
      </c>
      <c r="C237" s="185" t="s">
        <v>195</v>
      </c>
      <c r="D237" s="186">
        <v>0.94</v>
      </c>
      <c r="E237" s="185">
        <v>0.154</v>
      </c>
      <c r="F237" s="186">
        <f t="shared" si="15"/>
        <v>33.839999999999996</v>
      </c>
      <c r="G237" s="152">
        <f t="shared" si="16"/>
        <v>5.2113599999999991</v>
      </c>
      <c r="H237" s="402"/>
      <c r="I237" s="403"/>
    </row>
    <row r="238" spans="2:9" ht="13.5" thickBot="1" x14ac:dyDescent="0.25">
      <c r="B238" s="192">
        <v>4</v>
      </c>
      <c r="C238" s="187" t="s">
        <v>248</v>
      </c>
      <c r="D238" s="188">
        <v>5.97</v>
      </c>
      <c r="E238" s="187">
        <v>0.245</v>
      </c>
      <c r="F238" s="188">
        <f t="shared" si="15"/>
        <v>23.88</v>
      </c>
      <c r="G238" s="153">
        <f t="shared" si="16"/>
        <v>5.8506</v>
      </c>
      <c r="H238" s="404"/>
      <c r="I238" s="405"/>
    </row>
    <row r="239" spans="2:9" x14ac:dyDescent="0.2">
      <c r="B239" s="190">
        <v>2</v>
      </c>
      <c r="C239" s="183" t="s">
        <v>198</v>
      </c>
      <c r="D239" s="184">
        <v>3</v>
      </c>
      <c r="E239" s="183">
        <v>0.39500000000000002</v>
      </c>
      <c r="F239" s="184">
        <f t="shared" ref="F239:F244" si="17">B239*D239</f>
        <v>6</v>
      </c>
      <c r="G239" s="151">
        <f t="shared" ref="G239:G244" si="18">E239*F239</f>
        <v>2.37</v>
      </c>
      <c r="H239" s="400" t="s">
        <v>258</v>
      </c>
      <c r="I239" s="401"/>
    </row>
    <row r="240" spans="2:9" x14ac:dyDescent="0.2">
      <c r="B240" s="191">
        <v>2</v>
      </c>
      <c r="C240" s="185" t="s">
        <v>198</v>
      </c>
      <c r="D240" s="186">
        <v>2.6</v>
      </c>
      <c r="E240" s="185">
        <v>0.39500000000000002</v>
      </c>
      <c r="F240" s="186">
        <f t="shared" si="17"/>
        <v>5.2</v>
      </c>
      <c r="G240" s="152">
        <f t="shared" si="18"/>
        <v>2.0540000000000003</v>
      </c>
      <c r="H240" s="402"/>
      <c r="I240" s="403"/>
    </row>
    <row r="241" spans="2:11" ht="13.5" thickBot="1" x14ac:dyDescent="0.25">
      <c r="B241" s="192">
        <v>14</v>
      </c>
      <c r="C241" s="187" t="s">
        <v>195</v>
      </c>
      <c r="D241" s="188">
        <v>0.84</v>
      </c>
      <c r="E241" s="187">
        <v>0.154</v>
      </c>
      <c r="F241" s="188">
        <f t="shared" si="17"/>
        <v>11.76</v>
      </c>
      <c r="G241" s="153">
        <f t="shared" si="18"/>
        <v>1.81104</v>
      </c>
      <c r="H241" s="404"/>
      <c r="I241" s="405"/>
    </row>
    <row r="242" spans="2:11" x14ac:dyDescent="0.2">
      <c r="B242" s="190">
        <v>2</v>
      </c>
      <c r="C242" s="183" t="s">
        <v>198</v>
      </c>
      <c r="D242" s="184">
        <v>3</v>
      </c>
      <c r="E242" s="183">
        <v>0.39500000000000002</v>
      </c>
      <c r="F242" s="184">
        <f t="shared" si="17"/>
        <v>6</v>
      </c>
      <c r="G242" s="151">
        <f t="shared" si="18"/>
        <v>2.37</v>
      </c>
      <c r="H242" s="400" t="s">
        <v>259</v>
      </c>
      <c r="I242" s="401"/>
    </row>
    <row r="243" spans="2:11" x14ac:dyDescent="0.2">
      <c r="B243" s="191">
        <v>2</v>
      </c>
      <c r="C243" s="185" t="s">
        <v>198</v>
      </c>
      <c r="D243" s="186">
        <v>2.6</v>
      </c>
      <c r="E243" s="185">
        <v>0.39500000000000002</v>
      </c>
      <c r="F243" s="186">
        <f t="shared" si="17"/>
        <v>5.2</v>
      </c>
      <c r="G243" s="152">
        <f t="shared" si="18"/>
        <v>2.0540000000000003</v>
      </c>
      <c r="H243" s="402"/>
      <c r="I243" s="403"/>
    </row>
    <row r="244" spans="2:11" ht="13.5" thickBot="1" x14ac:dyDescent="0.25">
      <c r="B244" s="192">
        <v>14</v>
      </c>
      <c r="C244" s="187" t="s">
        <v>195</v>
      </c>
      <c r="D244" s="188">
        <v>0.84</v>
      </c>
      <c r="E244" s="187">
        <v>0.154</v>
      </c>
      <c r="F244" s="188">
        <f t="shared" si="17"/>
        <v>11.76</v>
      </c>
      <c r="G244" s="153">
        <f t="shared" si="18"/>
        <v>1.81104</v>
      </c>
      <c r="H244" s="404"/>
      <c r="I244" s="405"/>
      <c r="J244" s="156"/>
    </row>
    <row r="245" spans="2:11" ht="13.5" thickBot="1" x14ac:dyDescent="0.25">
      <c r="B245" s="355" t="s">
        <v>318</v>
      </c>
      <c r="C245" s="356"/>
      <c r="D245" s="356"/>
      <c r="E245" s="356"/>
      <c r="F245" s="356"/>
      <c r="G245" s="356"/>
      <c r="H245" s="356"/>
      <c r="I245" s="357"/>
    </row>
    <row r="246" spans="2:11" x14ac:dyDescent="0.2">
      <c r="B246" s="190">
        <v>12</v>
      </c>
      <c r="C246" s="184" t="s">
        <v>118</v>
      </c>
      <c r="D246" s="184">
        <v>4.05</v>
      </c>
      <c r="E246" s="216">
        <v>0.96299999999999997</v>
      </c>
      <c r="F246" s="184">
        <f>B246*D246</f>
        <v>48.599999999999994</v>
      </c>
      <c r="G246" s="217">
        <f>E246*F246</f>
        <v>46.801799999999993</v>
      </c>
      <c r="H246" s="400" t="s">
        <v>307</v>
      </c>
      <c r="I246" s="401"/>
    </row>
    <row r="247" spans="2:11" x14ac:dyDescent="0.2">
      <c r="B247" s="191">
        <v>29</v>
      </c>
      <c r="C247" s="186" t="s">
        <v>118</v>
      </c>
      <c r="D247" s="186">
        <v>2.02</v>
      </c>
      <c r="E247" s="218">
        <v>0.96299999999999997</v>
      </c>
      <c r="F247" s="186">
        <f>B247*D247</f>
        <v>58.58</v>
      </c>
      <c r="G247" s="219">
        <f>E247*F247</f>
        <v>56.41254</v>
      </c>
      <c r="H247" s="402"/>
      <c r="I247" s="403"/>
    </row>
    <row r="248" spans="2:11" x14ac:dyDescent="0.2">
      <c r="B248" s="191">
        <v>12</v>
      </c>
      <c r="C248" s="186" t="s">
        <v>118</v>
      </c>
      <c r="D248" s="186">
        <v>4.05</v>
      </c>
      <c r="E248" s="218">
        <v>0.96299999999999997</v>
      </c>
      <c r="F248" s="186">
        <f>B248*D248</f>
        <v>48.599999999999994</v>
      </c>
      <c r="G248" s="219">
        <f>E248*F248</f>
        <v>46.801799999999993</v>
      </c>
      <c r="H248" s="402" t="s">
        <v>308</v>
      </c>
      <c r="I248" s="403"/>
    </row>
    <row r="249" spans="2:11" ht="13.5" thickBot="1" x14ac:dyDescent="0.25">
      <c r="B249" s="192">
        <v>29</v>
      </c>
      <c r="C249" s="188" t="s">
        <v>118</v>
      </c>
      <c r="D249" s="188">
        <v>2.02</v>
      </c>
      <c r="E249" s="220">
        <v>0.96299999999999997</v>
      </c>
      <c r="F249" s="188">
        <f>B249*D249</f>
        <v>58.58</v>
      </c>
      <c r="G249" s="221">
        <f>E249*F249</f>
        <v>56.41254</v>
      </c>
      <c r="H249" s="404"/>
      <c r="I249" s="405"/>
    </row>
    <row r="250" spans="2:11" ht="13.5" thickBot="1" x14ac:dyDescent="0.25"/>
    <row r="251" spans="2:11" ht="13.5" thickBot="1" x14ac:dyDescent="0.25">
      <c r="B251" s="355" t="s">
        <v>462</v>
      </c>
      <c r="C251" s="356"/>
      <c r="D251" s="356"/>
      <c r="E251" s="356"/>
      <c r="F251" s="356"/>
      <c r="G251" s="356"/>
      <c r="H251" s="356"/>
      <c r="I251" s="357"/>
    </row>
    <row r="252" spans="2:11" ht="13.5" thickBot="1" x14ac:dyDescent="0.25">
      <c r="B252" s="205" t="s">
        <v>234</v>
      </c>
      <c r="C252" s="205" t="s">
        <v>243</v>
      </c>
      <c r="D252" s="205" t="s">
        <v>255</v>
      </c>
      <c r="E252" s="205" t="s">
        <v>245</v>
      </c>
      <c r="F252" s="205" t="s">
        <v>317</v>
      </c>
      <c r="G252" s="205" t="s">
        <v>316</v>
      </c>
      <c r="H252" s="349" t="s">
        <v>235</v>
      </c>
      <c r="I252" s="350"/>
    </row>
    <row r="253" spans="2:11" ht="13.5" thickBot="1" x14ac:dyDescent="0.25">
      <c r="B253" s="163"/>
      <c r="C253" s="163" t="s">
        <v>195</v>
      </c>
      <c r="D253" s="163">
        <f>D203+D204+D209+D217+D220+D223+D224+D227+D230+D233+D234+D237+D241+D244</f>
        <v>16.62</v>
      </c>
      <c r="E253" s="179">
        <v>0.154</v>
      </c>
      <c r="F253" s="163">
        <f>F203+F204+F209+F217+F220+F223+F224+F227+F230+F233+F234+F237+F241+F244</f>
        <v>349.19999999999993</v>
      </c>
      <c r="G253" s="224">
        <f>E253*F253</f>
        <v>53.776799999999987</v>
      </c>
      <c r="H253" s="141"/>
      <c r="I253" s="141"/>
      <c r="K253" s="222"/>
    </row>
    <row r="254" spans="2:11" ht="13.5" thickBot="1" x14ac:dyDescent="0.25">
      <c r="B254" s="163"/>
      <c r="C254" s="163" t="s">
        <v>248</v>
      </c>
      <c r="D254" s="163">
        <f>D207+D213+D214+D215+D218+D225+D238</f>
        <v>19.309999999999999</v>
      </c>
      <c r="E254" s="179">
        <v>0.245</v>
      </c>
      <c r="F254" s="163">
        <f>F207+F213+F214+F215+F218+F225+F238</f>
        <v>87.52</v>
      </c>
      <c r="G254" s="224">
        <f>E254*F254</f>
        <v>21.442399999999999</v>
      </c>
      <c r="H254" s="141"/>
      <c r="I254" s="141"/>
      <c r="K254" s="222"/>
    </row>
    <row r="255" spans="2:11" ht="13.5" thickBot="1" x14ac:dyDescent="0.25">
      <c r="B255" s="163"/>
      <c r="C255" s="163" t="s">
        <v>198</v>
      </c>
      <c r="D255" s="163">
        <f>D208+D216+D219+D221+D222+D226+D228+D229+D231+D232+D236+D239+D240+D242+D243+D210</f>
        <v>48.56</v>
      </c>
      <c r="E255" s="179">
        <v>0.39500000000000002</v>
      </c>
      <c r="F255" s="163">
        <f>F208+F216+F219+F221+F222+F226+F228+F229+F231+F232+F236+F239+F240+F242+F243+F210</f>
        <v>101.10000000000001</v>
      </c>
      <c r="G255" s="224">
        <f>E255*F255</f>
        <v>39.934500000000007</v>
      </c>
      <c r="H255" s="141"/>
      <c r="I255" s="141"/>
      <c r="K255" s="222"/>
    </row>
    <row r="256" spans="2:11" ht="13.5" thickBot="1" x14ac:dyDescent="0.25">
      <c r="B256" s="163"/>
      <c r="C256" s="163" t="s">
        <v>200</v>
      </c>
      <c r="D256" s="163">
        <f>D201+D202+D211+D212+D235</f>
        <v>11.829999999999998</v>
      </c>
      <c r="E256" s="179">
        <v>0.61699999999999999</v>
      </c>
      <c r="F256" s="163">
        <f>F201+F202+F211+F212+F235</f>
        <v>149.91</v>
      </c>
      <c r="G256" s="224">
        <f>E256*F256</f>
        <v>92.494469999999993</v>
      </c>
      <c r="H256" s="141"/>
      <c r="I256" s="141"/>
      <c r="K256" s="222"/>
    </row>
    <row r="257" spans="2:11" ht="13.5" thickBot="1" x14ac:dyDescent="0.25">
      <c r="B257" s="163"/>
      <c r="C257" s="163" t="s">
        <v>118</v>
      </c>
      <c r="D257" s="163">
        <f>D205+D206+D246+D247+D248+D249</f>
        <v>14.099999999999998</v>
      </c>
      <c r="E257" s="179">
        <v>0.96299999999999997</v>
      </c>
      <c r="F257" s="163">
        <f>F205+F206+F246+F247+F248+F249</f>
        <v>300.76</v>
      </c>
      <c r="G257" s="224">
        <f>E257*F257</f>
        <v>289.63187999999997</v>
      </c>
      <c r="H257" s="215"/>
      <c r="I257" s="215"/>
      <c r="K257" s="222"/>
    </row>
    <row r="258" spans="2:11" ht="13.5" thickBot="1" x14ac:dyDescent="0.25">
      <c r="G258" s="156"/>
      <c r="I258" s="156"/>
    </row>
    <row r="259" spans="2:11" ht="13.5" thickBot="1" x14ac:dyDescent="0.25">
      <c r="B259" s="345" t="s">
        <v>0</v>
      </c>
      <c r="C259" s="345" t="s">
        <v>9</v>
      </c>
      <c r="D259" s="345" t="s">
        <v>1</v>
      </c>
      <c r="E259" s="345" t="s">
        <v>189</v>
      </c>
      <c r="F259" s="347" t="s">
        <v>8</v>
      </c>
      <c r="G259" s="348"/>
      <c r="H259" s="143"/>
      <c r="I259" s="143"/>
    </row>
    <row r="260" spans="2:11" ht="13.5" thickBot="1" x14ac:dyDescent="0.25">
      <c r="B260" s="345"/>
      <c r="C260" s="345"/>
      <c r="D260" s="345"/>
      <c r="E260" s="345"/>
      <c r="F260" s="347"/>
      <c r="G260" s="348"/>
      <c r="H260" s="143"/>
      <c r="I260" s="143"/>
    </row>
    <row r="261" spans="2:11" ht="60.75" thickBot="1" x14ac:dyDescent="0.25">
      <c r="B261" s="140" t="s">
        <v>75</v>
      </c>
      <c r="C261" s="140">
        <v>92915</v>
      </c>
      <c r="D261" s="135" t="s">
        <v>600</v>
      </c>
      <c r="E261" s="133" t="s">
        <v>440</v>
      </c>
      <c r="F261" s="336">
        <f>G263</f>
        <v>53.776799999999987</v>
      </c>
      <c r="G261" s="337"/>
      <c r="H261" s="143"/>
      <c r="I261" s="143"/>
    </row>
    <row r="262" spans="2:11" ht="13.5" thickBot="1" x14ac:dyDescent="0.25">
      <c r="B262" s="205" t="s">
        <v>234</v>
      </c>
      <c r="C262" s="205" t="s">
        <v>243</v>
      </c>
      <c r="D262" s="205" t="s">
        <v>255</v>
      </c>
      <c r="E262" s="205" t="s">
        <v>245</v>
      </c>
      <c r="F262" s="205" t="s">
        <v>317</v>
      </c>
      <c r="G262" s="205" t="s">
        <v>316</v>
      </c>
      <c r="H262" s="349" t="s">
        <v>235</v>
      </c>
      <c r="I262" s="350"/>
    </row>
    <row r="263" spans="2:11" ht="13.5" thickBot="1" x14ac:dyDescent="0.25">
      <c r="B263" s="163"/>
      <c r="C263" s="163"/>
      <c r="D263" s="163"/>
      <c r="E263" s="179"/>
      <c r="F263" s="163"/>
      <c r="G263" s="189">
        <f>G253</f>
        <v>53.776799999999987</v>
      </c>
      <c r="H263" s="328"/>
      <c r="I263" s="329"/>
    </row>
    <row r="264" spans="2:11" ht="13.5" thickBot="1" x14ac:dyDescent="0.25">
      <c r="G264" s="156"/>
      <c r="I264" s="156"/>
    </row>
    <row r="265" spans="2:11" ht="13.5" thickBot="1" x14ac:dyDescent="0.25">
      <c r="B265" s="345" t="s">
        <v>0</v>
      </c>
      <c r="C265" s="345" t="s">
        <v>9</v>
      </c>
      <c r="D265" s="345" t="s">
        <v>1</v>
      </c>
      <c r="E265" s="345" t="s">
        <v>189</v>
      </c>
      <c r="F265" s="347" t="s">
        <v>8</v>
      </c>
      <c r="G265" s="348"/>
      <c r="H265" s="143"/>
      <c r="I265" s="143"/>
    </row>
    <row r="266" spans="2:11" ht="13.5" thickBot="1" x14ac:dyDescent="0.25">
      <c r="B266" s="345"/>
      <c r="C266" s="345"/>
      <c r="D266" s="345"/>
      <c r="E266" s="345"/>
      <c r="F266" s="347"/>
      <c r="G266" s="348"/>
      <c r="H266" s="143"/>
      <c r="I266" s="143"/>
    </row>
    <row r="267" spans="2:11" ht="60.75" thickBot="1" x14ac:dyDescent="0.25">
      <c r="B267" s="140" t="s">
        <v>319</v>
      </c>
      <c r="C267" s="140">
        <v>92916</v>
      </c>
      <c r="D267" s="135" t="s">
        <v>599</v>
      </c>
      <c r="E267" s="133" t="s">
        <v>440</v>
      </c>
      <c r="F267" s="336">
        <f>G269</f>
        <v>21.442399999999999</v>
      </c>
      <c r="G267" s="337"/>
      <c r="H267" s="143"/>
      <c r="I267" s="143"/>
    </row>
    <row r="268" spans="2:11" ht="13.5" thickBot="1" x14ac:dyDescent="0.25">
      <c r="B268" s="205" t="s">
        <v>234</v>
      </c>
      <c r="C268" s="205" t="s">
        <v>243</v>
      </c>
      <c r="D268" s="205" t="s">
        <v>255</v>
      </c>
      <c r="E268" s="205" t="s">
        <v>245</v>
      </c>
      <c r="F268" s="205" t="s">
        <v>317</v>
      </c>
      <c r="G268" s="205" t="s">
        <v>316</v>
      </c>
      <c r="H268" s="349" t="s">
        <v>235</v>
      </c>
      <c r="I268" s="350"/>
    </row>
    <row r="269" spans="2:11" ht="13.5" thickBot="1" x14ac:dyDescent="0.25">
      <c r="B269" s="163"/>
      <c r="C269" s="163"/>
      <c r="D269" s="163"/>
      <c r="E269" s="179"/>
      <c r="F269" s="163"/>
      <c r="G269" s="189">
        <f>G254</f>
        <v>21.442399999999999</v>
      </c>
      <c r="H269" s="328"/>
      <c r="I269" s="329"/>
    </row>
    <row r="270" spans="2:11" ht="13.5" thickBot="1" x14ac:dyDescent="0.25">
      <c r="G270" s="156"/>
      <c r="I270" s="156"/>
    </row>
    <row r="271" spans="2:11" ht="13.5" thickBot="1" x14ac:dyDescent="0.25">
      <c r="B271" s="345" t="s">
        <v>0</v>
      </c>
      <c r="C271" s="345" t="s">
        <v>9</v>
      </c>
      <c r="D271" s="345" t="s">
        <v>1</v>
      </c>
      <c r="E271" s="345" t="s">
        <v>189</v>
      </c>
      <c r="F271" s="347" t="s">
        <v>8</v>
      </c>
      <c r="G271" s="348"/>
      <c r="H271" s="143"/>
      <c r="I271" s="143"/>
    </row>
    <row r="272" spans="2:11" ht="13.5" thickBot="1" x14ac:dyDescent="0.25">
      <c r="B272" s="345"/>
      <c r="C272" s="345"/>
      <c r="D272" s="345"/>
      <c r="E272" s="345"/>
      <c r="F272" s="347"/>
      <c r="G272" s="348"/>
      <c r="H272" s="143"/>
      <c r="I272" s="143"/>
    </row>
    <row r="273" spans="2:9" ht="60.75" thickBot="1" x14ac:dyDescent="0.25">
      <c r="B273" s="140" t="s">
        <v>463</v>
      </c>
      <c r="C273" s="140">
        <v>92917</v>
      </c>
      <c r="D273" s="135" t="s">
        <v>598</v>
      </c>
      <c r="E273" s="133" t="s">
        <v>440</v>
      </c>
      <c r="F273" s="336">
        <f>G275</f>
        <v>39.934500000000007</v>
      </c>
      <c r="G273" s="337"/>
      <c r="H273" s="143"/>
      <c r="I273" s="143"/>
    </row>
    <row r="274" spans="2:9" ht="13.5" thickBot="1" x14ac:dyDescent="0.25">
      <c r="B274" s="205" t="s">
        <v>234</v>
      </c>
      <c r="C274" s="205" t="s">
        <v>243</v>
      </c>
      <c r="D274" s="205" t="s">
        <v>255</v>
      </c>
      <c r="E274" s="205" t="s">
        <v>245</v>
      </c>
      <c r="F274" s="205" t="s">
        <v>317</v>
      </c>
      <c r="G274" s="205" t="s">
        <v>316</v>
      </c>
      <c r="H274" s="349" t="s">
        <v>235</v>
      </c>
      <c r="I274" s="350"/>
    </row>
    <row r="275" spans="2:9" ht="13.5" thickBot="1" x14ac:dyDescent="0.25">
      <c r="B275" s="163"/>
      <c r="C275" s="163"/>
      <c r="D275" s="163"/>
      <c r="E275" s="179"/>
      <c r="F275" s="163"/>
      <c r="G275" s="189">
        <f>G255</f>
        <v>39.934500000000007</v>
      </c>
      <c r="H275" s="328"/>
      <c r="I275" s="329"/>
    </row>
    <row r="276" spans="2:9" ht="13.5" thickBot="1" x14ac:dyDescent="0.25">
      <c r="G276" s="156"/>
      <c r="I276" s="156"/>
    </row>
    <row r="277" spans="2:9" ht="13.5" thickBot="1" x14ac:dyDescent="0.25">
      <c r="B277" s="345" t="s">
        <v>0</v>
      </c>
      <c r="C277" s="345" t="s">
        <v>9</v>
      </c>
      <c r="D277" s="345" t="s">
        <v>1</v>
      </c>
      <c r="E277" s="345" t="s">
        <v>189</v>
      </c>
      <c r="F277" s="347" t="s">
        <v>8</v>
      </c>
      <c r="G277" s="348"/>
      <c r="H277" s="143"/>
      <c r="I277" s="143"/>
    </row>
    <row r="278" spans="2:9" ht="13.5" thickBot="1" x14ac:dyDescent="0.25">
      <c r="B278" s="345"/>
      <c r="C278" s="345"/>
      <c r="D278" s="345"/>
      <c r="E278" s="345"/>
      <c r="F278" s="347"/>
      <c r="G278" s="348"/>
      <c r="H278" s="143"/>
      <c r="I278" s="143"/>
    </row>
    <row r="279" spans="2:9" ht="60.75" thickBot="1" x14ac:dyDescent="0.25">
      <c r="B279" s="140" t="s">
        <v>464</v>
      </c>
      <c r="C279" s="140">
        <v>92919</v>
      </c>
      <c r="D279" s="135" t="s">
        <v>597</v>
      </c>
      <c r="E279" s="133" t="s">
        <v>440</v>
      </c>
      <c r="F279" s="336">
        <f>G281</f>
        <v>92.494469999999993</v>
      </c>
      <c r="G279" s="337"/>
      <c r="H279" s="143"/>
      <c r="I279" s="143"/>
    </row>
    <row r="280" spans="2:9" ht="13.5" thickBot="1" x14ac:dyDescent="0.25">
      <c r="B280" s="205" t="s">
        <v>234</v>
      </c>
      <c r="C280" s="205" t="s">
        <v>243</v>
      </c>
      <c r="D280" s="205" t="s">
        <v>255</v>
      </c>
      <c r="E280" s="205" t="s">
        <v>245</v>
      </c>
      <c r="F280" s="205" t="s">
        <v>317</v>
      </c>
      <c r="G280" s="205" t="s">
        <v>316</v>
      </c>
      <c r="H280" s="349" t="s">
        <v>235</v>
      </c>
      <c r="I280" s="350"/>
    </row>
    <row r="281" spans="2:9" ht="13.5" thickBot="1" x14ac:dyDescent="0.25">
      <c r="B281" s="163"/>
      <c r="C281" s="163"/>
      <c r="D281" s="163"/>
      <c r="E281" s="179"/>
      <c r="F281" s="163"/>
      <c r="G281" s="189">
        <f>G256</f>
        <v>92.494469999999993</v>
      </c>
      <c r="H281" s="328"/>
      <c r="I281" s="329"/>
    </row>
    <row r="282" spans="2:9" ht="13.5" thickBot="1" x14ac:dyDescent="0.25">
      <c r="G282" s="156"/>
      <c r="I282" s="156"/>
    </row>
    <row r="283" spans="2:9" ht="13.5" thickBot="1" x14ac:dyDescent="0.25">
      <c r="B283" s="345" t="s">
        <v>0</v>
      </c>
      <c r="C283" s="345" t="s">
        <v>9</v>
      </c>
      <c r="D283" s="345" t="s">
        <v>1</v>
      </c>
      <c r="E283" s="345" t="s">
        <v>189</v>
      </c>
      <c r="F283" s="347" t="s">
        <v>8</v>
      </c>
      <c r="G283" s="348"/>
      <c r="H283" s="143"/>
      <c r="I283" s="143"/>
    </row>
    <row r="284" spans="2:9" ht="13.5" thickBot="1" x14ac:dyDescent="0.25">
      <c r="B284" s="345"/>
      <c r="C284" s="345"/>
      <c r="D284" s="345"/>
      <c r="E284" s="345"/>
      <c r="F284" s="347"/>
      <c r="G284" s="348"/>
      <c r="H284" s="143"/>
      <c r="I284" s="143"/>
    </row>
    <row r="285" spans="2:9" ht="60.75" thickBot="1" x14ac:dyDescent="0.25">
      <c r="B285" s="140" t="s">
        <v>467</v>
      </c>
      <c r="C285" s="140">
        <v>92921</v>
      </c>
      <c r="D285" s="135" t="s">
        <v>596</v>
      </c>
      <c r="E285" s="133" t="s">
        <v>440</v>
      </c>
      <c r="F285" s="336">
        <f>G287</f>
        <v>289.63187999999997</v>
      </c>
      <c r="G285" s="337"/>
      <c r="H285" s="143"/>
      <c r="I285" s="143"/>
    </row>
    <row r="286" spans="2:9" ht="13.5" thickBot="1" x14ac:dyDescent="0.25">
      <c r="B286" s="205" t="s">
        <v>234</v>
      </c>
      <c r="C286" s="205" t="s">
        <v>243</v>
      </c>
      <c r="D286" s="257" t="s">
        <v>255</v>
      </c>
      <c r="E286" s="205" t="s">
        <v>245</v>
      </c>
      <c r="F286" s="205" t="s">
        <v>317</v>
      </c>
      <c r="G286" s="205" t="s">
        <v>316</v>
      </c>
      <c r="H286" s="349" t="s">
        <v>235</v>
      </c>
      <c r="I286" s="350"/>
    </row>
    <row r="287" spans="2:9" ht="13.5" thickBot="1" x14ac:dyDescent="0.25">
      <c r="B287" s="163"/>
      <c r="C287" s="163"/>
      <c r="D287" s="163"/>
      <c r="E287" s="179"/>
      <c r="F287" s="163"/>
      <c r="G287" s="189">
        <f>G257</f>
        <v>289.63187999999997</v>
      </c>
      <c r="H287" s="328"/>
      <c r="I287" s="329"/>
    </row>
    <row r="288" spans="2:9" ht="13.5" thickBot="1" x14ac:dyDescent="0.25">
      <c r="G288" s="156"/>
      <c r="I288" s="156"/>
    </row>
    <row r="289" spans="2:9" ht="13.5" thickBot="1" x14ac:dyDescent="0.25">
      <c r="B289" s="345" t="s">
        <v>0</v>
      </c>
      <c r="C289" s="345" t="s">
        <v>9</v>
      </c>
      <c r="D289" s="345" t="s">
        <v>1</v>
      </c>
      <c r="E289" s="345" t="s">
        <v>189</v>
      </c>
      <c r="F289" s="345" t="s">
        <v>8</v>
      </c>
    </row>
    <row r="290" spans="2:9" ht="13.5" thickBot="1" x14ac:dyDescent="0.25">
      <c r="B290" s="345"/>
      <c r="C290" s="345"/>
      <c r="D290" s="345"/>
      <c r="E290" s="345"/>
      <c r="F290" s="345"/>
    </row>
    <row r="291" spans="2:9" ht="36.75" thickBot="1" x14ac:dyDescent="0.25">
      <c r="B291" s="140" t="s">
        <v>468</v>
      </c>
      <c r="C291" s="140" t="s">
        <v>662</v>
      </c>
      <c r="D291" s="135" t="s">
        <v>660</v>
      </c>
      <c r="E291" s="133" t="s">
        <v>10</v>
      </c>
      <c r="F291" s="134">
        <f>SUM(F293:F307)</f>
        <v>9.6499999999999986</v>
      </c>
    </row>
    <row r="292" spans="2:9" ht="13.5" thickBot="1" x14ac:dyDescent="0.25">
      <c r="B292" s="132" t="s">
        <v>234</v>
      </c>
      <c r="C292" s="136" t="s">
        <v>314</v>
      </c>
      <c r="D292" s="136" t="s">
        <v>255</v>
      </c>
      <c r="E292" s="136" t="s">
        <v>315</v>
      </c>
      <c r="F292" s="136" t="s">
        <v>300</v>
      </c>
      <c r="G292" s="375" t="s">
        <v>235</v>
      </c>
      <c r="H292" s="376"/>
      <c r="I292" s="377"/>
    </row>
    <row r="293" spans="2:9" ht="13.5" thickBot="1" x14ac:dyDescent="0.25">
      <c r="B293" s="192">
        <v>1</v>
      </c>
      <c r="C293" s="162">
        <v>0.5</v>
      </c>
      <c r="D293" s="163">
        <v>1.6</v>
      </c>
      <c r="E293" s="162"/>
      <c r="F293" s="163">
        <f>C293*D293</f>
        <v>0.8</v>
      </c>
      <c r="G293" s="341" t="s">
        <v>285</v>
      </c>
      <c r="H293" s="341"/>
      <c r="I293" s="341"/>
    </row>
    <row r="294" spans="2:9" ht="13.5" thickBot="1" x14ac:dyDescent="0.25">
      <c r="B294" s="192">
        <v>1</v>
      </c>
      <c r="C294" s="162">
        <v>0.5</v>
      </c>
      <c r="D294" s="163">
        <v>3.3</v>
      </c>
      <c r="E294" s="162"/>
      <c r="F294" s="163">
        <f t="shared" ref="F294:F300" si="19">C294*D294</f>
        <v>1.65</v>
      </c>
      <c r="G294" s="341" t="s">
        <v>286</v>
      </c>
      <c r="H294" s="341"/>
      <c r="I294" s="341"/>
    </row>
    <row r="295" spans="2:9" ht="13.5" thickBot="1" x14ac:dyDescent="0.25">
      <c r="B295" s="192">
        <v>1</v>
      </c>
      <c r="C295" s="162">
        <v>0.5</v>
      </c>
      <c r="D295" s="163">
        <v>1.6</v>
      </c>
      <c r="E295" s="162"/>
      <c r="F295" s="163">
        <f t="shared" si="19"/>
        <v>0.8</v>
      </c>
      <c r="G295" s="341" t="s">
        <v>287</v>
      </c>
      <c r="H295" s="341"/>
      <c r="I295" s="341"/>
    </row>
    <row r="296" spans="2:9" ht="13.5" thickBot="1" x14ac:dyDescent="0.25">
      <c r="B296" s="192">
        <v>1</v>
      </c>
      <c r="C296" s="162">
        <v>0.5</v>
      </c>
      <c r="D296" s="163">
        <v>1.6</v>
      </c>
      <c r="E296" s="162"/>
      <c r="F296" s="163">
        <f t="shared" si="19"/>
        <v>0.8</v>
      </c>
      <c r="G296" s="341" t="s">
        <v>288</v>
      </c>
      <c r="H296" s="341"/>
      <c r="I296" s="341"/>
    </row>
    <row r="297" spans="2:9" ht="13.5" thickBot="1" x14ac:dyDescent="0.25">
      <c r="B297" s="192">
        <v>1</v>
      </c>
      <c r="C297" s="162">
        <v>0.5</v>
      </c>
      <c r="D297" s="163">
        <v>1.6</v>
      </c>
      <c r="E297" s="162"/>
      <c r="F297" s="163">
        <f t="shared" si="19"/>
        <v>0.8</v>
      </c>
      <c r="G297" s="341" t="s">
        <v>289</v>
      </c>
      <c r="H297" s="341"/>
      <c r="I297" s="341"/>
    </row>
    <row r="298" spans="2:9" ht="13.5" thickBot="1" x14ac:dyDescent="0.25">
      <c r="B298" s="192">
        <v>1</v>
      </c>
      <c r="C298" s="162">
        <v>0.5</v>
      </c>
      <c r="D298" s="163">
        <v>2</v>
      </c>
      <c r="E298" s="162"/>
      <c r="F298" s="163">
        <f t="shared" si="19"/>
        <v>1</v>
      </c>
      <c r="G298" s="341" t="s">
        <v>290</v>
      </c>
      <c r="H298" s="341"/>
      <c r="I298" s="341"/>
    </row>
    <row r="299" spans="2:9" ht="13.5" thickBot="1" x14ac:dyDescent="0.25">
      <c r="B299" s="192">
        <v>1</v>
      </c>
      <c r="C299" s="162">
        <v>0.5</v>
      </c>
      <c r="D299" s="163">
        <v>5.6</v>
      </c>
      <c r="E299" s="162"/>
      <c r="F299" s="163">
        <f t="shared" si="19"/>
        <v>2.8</v>
      </c>
      <c r="G299" s="341" t="s">
        <v>291</v>
      </c>
      <c r="H299" s="341"/>
      <c r="I299" s="341"/>
    </row>
    <row r="300" spans="2:9" ht="13.5" thickBot="1" x14ac:dyDescent="0.25">
      <c r="B300" s="192">
        <v>1</v>
      </c>
      <c r="C300" s="162">
        <v>0.5</v>
      </c>
      <c r="D300" s="163">
        <v>2</v>
      </c>
      <c r="E300" s="162"/>
      <c r="F300" s="163">
        <f t="shared" si="19"/>
        <v>1</v>
      </c>
      <c r="G300" s="341" t="s">
        <v>292</v>
      </c>
      <c r="H300" s="341"/>
      <c r="I300" s="341"/>
    </row>
    <row r="302" spans="2:9" ht="13.5" thickBot="1" x14ac:dyDescent="0.25"/>
    <row r="303" spans="2:9" ht="15.75" thickBot="1" x14ac:dyDescent="0.25">
      <c r="B303" s="139">
        <v>4</v>
      </c>
      <c r="C303" s="384" t="s">
        <v>83</v>
      </c>
      <c r="D303" s="384"/>
      <c r="E303" s="384"/>
      <c r="F303" s="384"/>
      <c r="G303" s="384"/>
      <c r="H303" s="384"/>
      <c r="I303" s="384"/>
    </row>
    <row r="305" spans="2:9" ht="13.5" thickBot="1" x14ac:dyDescent="0.25"/>
    <row r="306" spans="2:9" ht="13.5" thickBot="1" x14ac:dyDescent="0.25">
      <c r="B306" s="345" t="s">
        <v>0</v>
      </c>
      <c r="C306" s="345" t="s">
        <v>9</v>
      </c>
      <c r="D306" s="345" t="s">
        <v>1</v>
      </c>
      <c r="E306" s="345" t="s">
        <v>189</v>
      </c>
      <c r="F306" s="345" t="s">
        <v>8</v>
      </c>
    </row>
    <row r="307" spans="2:9" ht="13.5" thickBot="1" x14ac:dyDescent="0.25">
      <c r="B307" s="345"/>
      <c r="C307" s="345"/>
      <c r="D307" s="345"/>
      <c r="E307" s="345"/>
      <c r="F307" s="345"/>
    </row>
    <row r="308" spans="2:9" ht="24.75" thickBot="1" x14ac:dyDescent="0.25">
      <c r="B308" s="140" t="s">
        <v>15</v>
      </c>
      <c r="C308" s="140">
        <v>3365</v>
      </c>
      <c r="D308" s="135" t="s">
        <v>618</v>
      </c>
      <c r="E308" s="133" t="s">
        <v>10</v>
      </c>
      <c r="F308" s="134">
        <f>SUM(F311:F318)+SUM(F321:F323)+SUM(F326:F341)</f>
        <v>40.786100000000005</v>
      </c>
    </row>
    <row r="309" spans="2:9" ht="13.5" thickBot="1" x14ac:dyDescent="0.25">
      <c r="B309" s="338" t="s">
        <v>293</v>
      </c>
      <c r="C309" s="339"/>
      <c r="D309" s="339"/>
      <c r="E309" s="339"/>
      <c r="F309" s="339"/>
      <c r="G309" s="339"/>
      <c r="H309" s="339"/>
      <c r="I309" s="340"/>
    </row>
    <row r="310" spans="2:9" ht="13.5" customHeight="1" thickBot="1" x14ac:dyDescent="0.25">
      <c r="B310" s="132" t="s">
        <v>234</v>
      </c>
      <c r="C310" s="136" t="s">
        <v>314</v>
      </c>
      <c r="D310" s="136" t="s">
        <v>255</v>
      </c>
      <c r="E310" s="136" t="s">
        <v>315</v>
      </c>
      <c r="F310" s="136" t="s">
        <v>300</v>
      </c>
      <c r="G310" s="375" t="s">
        <v>235</v>
      </c>
      <c r="H310" s="376"/>
      <c r="I310" s="377"/>
    </row>
    <row r="311" spans="2:9" ht="13.5" thickBot="1" x14ac:dyDescent="0.25">
      <c r="B311" s="192">
        <v>1</v>
      </c>
      <c r="C311" s="163">
        <v>2</v>
      </c>
      <c r="D311" s="163">
        <v>0.3</v>
      </c>
      <c r="E311" s="162">
        <v>0.15</v>
      </c>
      <c r="F311" s="163">
        <f>(D311+E311+D311+E311)*C311</f>
        <v>1.8</v>
      </c>
      <c r="G311" s="341" t="s">
        <v>285</v>
      </c>
      <c r="H311" s="341"/>
      <c r="I311" s="341"/>
    </row>
    <row r="312" spans="2:9" ht="13.5" thickBot="1" x14ac:dyDescent="0.25">
      <c r="B312" s="192">
        <v>1</v>
      </c>
      <c r="C312" s="163">
        <v>2</v>
      </c>
      <c r="D312" s="163">
        <v>0.3</v>
      </c>
      <c r="E312" s="162">
        <v>0.15</v>
      </c>
      <c r="F312" s="163">
        <f t="shared" ref="F312:F318" si="20">(D312+E312+D312+E312)*C312</f>
        <v>1.8</v>
      </c>
      <c r="G312" s="341" t="s">
        <v>286</v>
      </c>
      <c r="H312" s="341"/>
      <c r="I312" s="341"/>
    </row>
    <row r="313" spans="2:9" ht="13.5" thickBot="1" x14ac:dyDescent="0.25">
      <c r="B313" s="192">
        <v>1</v>
      </c>
      <c r="C313" s="163">
        <v>2</v>
      </c>
      <c r="D313" s="163">
        <v>0.3</v>
      </c>
      <c r="E313" s="162">
        <v>0.15</v>
      </c>
      <c r="F313" s="163">
        <f t="shared" si="20"/>
        <v>1.8</v>
      </c>
      <c r="G313" s="341" t="s">
        <v>287</v>
      </c>
      <c r="H313" s="341"/>
      <c r="I313" s="341"/>
    </row>
    <row r="314" spans="2:9" ht="13.5" thickBot="1" x14ac:dyDescent="0.25">
      <c r="B314" s="192">
        <v>1</v>
      </c>
      <c r="C314" s="163">
        <v>2</v>
      </c>
      <c r="D314" s="163">
        <v>0.3</v>
      </c>
      <c r="E314" s="162">
        <v>0.15</v>
      </c>
      <c r="F314" s="163">
        <f t="shared" si="20"/>
        <v>1.8</v>
      </c>
      <c r="G314" s="341" t="s">
        <v>288</v>
      </c>
      <c r="H314" s="341"/>
      <c r="I314" s="341"/>
    </row>
    <row r="315" spans="2:9" ht="13.5" thickBot="1" x14ac:dyDescent="0.25">
      <c r="B315" s="192">
        <v>1</v>
      </c>
      <c r="C315" s="163">
        <v>2</v>
      </c>
      <c r="D315" s="163">
        <v>0.3</v>
      </c>
      <c r="E315" s="162">
        <v>0.15</v>
      </c>
      <c r="F315" s="163">
        <f t="shared" si="20"/>
        <v>1.8</v>
      </c>
      <c r="G315" s="341" t="s">
        <v>289</v>
      </c>
      <c r="H315" s="341"/>
      <c r="I315" s="341"/>
    </row>
    <row r="316" spans="2:9" ht="13.5" thickBot="1" x14ac:dyDescent="0.25">
      <c r="B316" s="192">
        <v>1</v>
      </c>
      <c r="C316" s="163">
        <v>2</v>
      </c>
      <c r="D316" s="163">
        <v>0.3</v>
      </c>
      <c r="E316" s="162">
        <v>0.15</v>
      </c>
      <c r="F316" s="163">
        <f t="shared" si="20"/>
        <v>1.8</v>
      </c>
      <c r="G316" s="341" t="s">
        <v>290</v>
      </c>
      <c r="H316" s="341"/>
      <c r="I316" s="341"/>
    </row>
    <row r="317" spans="2:9" ht="13.5" thickBot="1" x14ac:dyDescent="0.25">
      <c r="B317" s="192">
        <v>1</v>
      </c>
      <c r="C317" s="163">
        <v>2</v>
      </c>
      <c r="D317" s="163">
        <v>0.3</v>
      </c>
      <c r="E317" s="162">
        <v>0.15</v>
      </c>
      <c r="F317" s="163">
        <f t="shared" si="20"/>
        <v>1.8</v>
      </c>
      <c r="G317" s="341" t="s">
        <v>291</v>
      </c>
      <c r="H317" s="341"/>
      <c r="I317" s="341"/>
    </row>
    <row r="318" spans="2:9" ht="13.5" thickBot="1" x14ac:dyDescent="0.25">
      <c r="B318" s="192">
        <v>1</v>
      </c>
      <c r="C318" s="163">
        <v>2</v>
      </c>
      <c r="D318" s="163">
        <v>0.3</v>
      </c>
      <c r="E318" s="162">
        <v>0.15</v>
      </c>
      <c r="F318" s="163">
        <f t="shared" si="20"/>
        <v>1.8</v>
      </c>
      <c r="G318" s="341" t="s">
        <v>292</v>
      </c>
      <c r="H318" s="341"/>
      <c r="I318" s="341"/>
    </row>
    <row r="319" spans="2:9" ht="13.5" thickBot="1" x14ac:dyDescent="0.25">
      <c r="B319" s="338" t="s">
        <v>437</v>
      </c>
      <c r="C319" s="339"/>
      <c r="D319" s="339"/>
      <c r="E319" s="339"/>
      <c r="F319" s="339"/>
      <c r="G319" s="339"/>
      <c r="H319" s="339"/>
      <c r="I319" s="340"/>
    </row>
    <row r="320" spans="2:9" ht="24.75" thickBot="1" x14ac:dyDescent="0.25">
      <c r="B320" s="132" t="s">
        <v>234</v>
      </c>
      <c r="C320" s="132" t="s">
        <v>297</v>
      </c>
      <c r="D320" s="132" t="s">
        <v>298</v>
      </c>
      <c r="E320" s="132" t="s">
        <v>299</v>
      </c>
      <c r="F320" s="132" t="s">
        <v>300</v>
      </c>
      <c r="G320" s="349" t="s">
        <v>235</v>
      </c>
      <c r="H320" s="351"/>
      <c r="I320" s="350"/>
    </row>
    <row r="321" spans="2:9" ht="13.5" thickBot="1" x14ac:dyDescent="0.25">
      <c r="B321" s="192">
        <v>1</v>
      </c>
      <c r="C321" s="163">
        <v>2.79</v>
      </c>
      <c r="D321" s="163">
        <v>5.5</v>
      </c>
      <c r="E321" s="162">
        <v>0.15</v>
      </c>
      <c r="F321" s="163">
        <f>C321+(D321*E321)</f>
        <v>3.6150000000000002</v>
      </c>
      <c r="G321" s="341" t="s">
        <v>295</v>
      </c>
      <c r="H321" s="341"/>
      <c r="I321" s="341"/>
    </row>
    <row r="322" spans="2:9" ht="13.5" thickBot="1" x14ac:dyDescent="0.25">
      <c r="B322" s="192">
        <v>1</v>
      </c>
      <c r="C322" s="163"/>
      <c r="D322" s="163" t="s">
        <v>438</v>
      </c>
      <c r="E322" s="162">
        <v>0.15</v>
      </c>
      <c r="F322" s="163">
        <v>5.6520000000000001</v>
      </c>
      <c r="G322" s="341" t="s">
        <v>296</v>
      </c>
      <c r="H322" s="341"/>
      <c r="I322" s="341"/>
    </row>
    <row r="323" spans="2:9" ht="13.5" thickBot="1" x14ac:dyDescent="0.25">
      <c r="B323" s="192">
        <v>1</v>
      </c>
      <c r="C323" s="163">
        <v>1.61</v>
      </c>
      <c r="D323" s="163">
        <v>4.0999999999999996</v>
      </c>
      <c r="E323" s="162">
        <v>0.15</v>
      </c>
      <c r="F323" s="163">
        <f>C323+(D323*E323)</f>
        <v>2.2250000000000001</v>
      </c>
      <c r="G323" s="341" t="s">
        <v>301</v>
      </c>
      <c r="H323" s="341"/>
      <c r="I323" s="341"/>
    </row>
    <row r="324" spans="2:9" ht="13.5" customHeight="1" thickBot="1" x14ac:dyDescent="0.25">
      <c r="B324" s="338" t="s">
        <v>351</v>
      </c>
      <c r="C324" s="339"/>
      <c r="D324" s="339"/>
      <c r="E324" s="339"/>
      <c r="F324" s="339"/>
      <c r="G324" s="339"/>
      <c r="H324" s="339"/>
      <c r="I324" s="340"/>
    </row>
    <row r="325" spans="2:9" ht="13.5" thickBot="1" x14ac:dyDescent="0.25">
      <c r="B325" s="148" t="s">
        <v>352</v>
      </c>
      <c r="C325" s="136" t="s">
        <v>314</v>
      </c>
      <c r="D325" s="136" t="s">
        <v>255</v>
      </c>
      <c r="E325" s="136" t="s">
        <v>315</v>
      </c>
      <c r="F325" s="136" t="s">
        <v>300</v>
      </c>
      <c r="G325" s="375" t="s">
        <v>235</v>
      </c>
      <c r="H325" s="376"/>
      <c r="I325" s="377"/>
    </row>
    <row r="326" spans="2:9" ht="13.5" thickBot="1" x14ac:dyDescent="0.25">
      <c r="B326" s="148" t="s">
        <v>353</v>
      </c>
      <c r="C326" s="163">
        <v>0.4</v>
      </c>
      <c r="D326" s="163">
        <v>3.6</v>
      </c>
      <c r="E326" s="163">
        <v>0.15</v>
      </c>
      <c r="F326" s="162">
        <f>(D326*C326)+(D326*E326)</f>
        <v>1.9800000000000002</v>
      </c>
      <c r="G326" s="330" t="s">
        <v>333</v>
      </c>
      <c r="H326" s="331"/>
      <c r="I326" s="332"/>
    </row>
    <row r="327" spans="2:9" ht="13.5" thickBot="1" x14ac:dyDescent="0.25">
      <c r="B327" s="148" t="s">
        <v>354</v>
      </c>
      <c r="C327" s="163">
        <v>0.27</v>
      </c>
      <c r="D327" s="163">
        <v>3.3</v>
      </c>
      <c r="E327" s="163"/>
      <c r="F327" s="162">
        <f>C327*D327</f>
        <v>0.89100000000000001</v>
      </c>
      <c r="G327" s="333"/>
      <c r="H327" s="334"/>
      <c r="I327" s="335"/>
    </row>
    <row r="328" spans="2:9" ht="13.5" thickBot="1" x14ac:dyDescent="0.25">
      <c r="B328" s="148" t="s">
        <v>353</v>
      </c>
      <c r="C328" s="163">
        <v>0.4</v>
      </c>
      <c r="D328" s="163">
        <v>2</v>
      </c>
      <c r="E328" s="163">
        <v>0.15</v>
      </c>
      <c r="F328" s="162">
        <f>(D328*C328)+(D328*E328)</f>
        <v>1.1000000000000001</v>
      </c>
      <c r="G328" s="330" t="s">
        <v>334</v>
      </c>
      <c r="H328" s="331"/>
      <c r="I328" s="332"/>
    </row>
    <row r="329" spans="2:9" ht="13.5" thickBot="1" x14ac:dyDescent="0.25">
      <c r="B329" s="148" t="s">
        <v>354</v>
      </c>
      <c r="C329" s="163">
        <v>0.27</v>
      </c>
      <c r="D329" s="163">
        <v>2</v>
      </c>
      <c r="E329" s="163"/>
      <c r="F329" s="162">
        <f>C329*D329</f>
        <v>0.54</v>
      </c>
      <c r="G329" s="333"/>
      <c r="H329" s="334"/>
      <c r="I329" s="335"/>
    </row>
    <row r="330" spans="2:9" ht="13.5" thickBot="1" x14ac:dyDescent="0.25">
      <c r="B330" s="148" t="s">
        <v>353</v>
      </c>
      <c r="C330" s="163">
        <v>0.4</v>
      </c>
      <c r="D330" s="163">
        <v>0.95</v>
      </c>
      <c r="E330" s="163">
        <v>0.15</v>
      </c>
      <c r="F330" s="162">
        <f>(D330*C330)+(D330*E330)</f>
        <v>0.52249999999999996</v>
      </c>
      <c r="G330" s="330" t="s">
        <v>340</v>
      </c>
      <c r="H330" s="331"/>
      <c r="I330" s="332"/>
    </row>
    <row r="331" spans="2:9" ht="13.5" thickBot="1" x14ac:dyDescent="0.25">
      <c r="B331" s="148" t="s">
        <v>354</v>
      </c>
      <c r="C331" s="163">
        <v>0.27</v>
      </c>
      <c r="D331" s="163">
        <v>0.8</v>
      </c>
      <c r="E331" s="163"/>
      <c r="F331" s="162">
        <f>C331*D331</f>
        <v>0.21600000000000003</v>
      </c>
      <c r="G331" s="342"/>
      <c r="H331" s="343"/>
      <c r="I331" s="344"/>
    </row>
    <row r="332" spans="2:9" ht="13.5" thickBot="1" x14ac:dyDescent="0.25">
      <c r="B332" s="148" t="s">
        <v>353</v>
      </c>
      <c r="C332" s="163">
        <v>0.27</v>
      </c>
      <c r="D332" s="163">
        <v>2</v>
      </c>
      <c r="E332" s="163">
        <v>0.15</v>
      </c>
      <c r="F332" s="162">
        <f>(D332*C332)+(D332*E332)</f>
        <v>0.84000000000000008</v>
      </c>
      <c r="G332" s="342"/>
      <c r="H332" s="343"/>
      <c r="I332" s="344"/>
    </row>
    <row r="333" spans="2:9" ht="13.5" thickBot="1" x14ac:dyDescent="0.25">
      <c r="B333" s="148" t="s">
        <v>354</v>
      </c>
      <c r="C333" s="163">
        <v>0.27</v>
      </c>
      <c r="D333" s="163">
        <v>2</v>
      </c>
      <c r="E333" s="163"/>
      <c r="F333" s="162">
        <f>C333*D333</f>
        <v>0.54</v>
      </c>
      <c r="G333" s="342"/>
      <c r="H333" s="343"/>
      <c r="I333" s="344"/>
    </row>
    <row r="334" spans="2:9" ht="13.5" thickBot="1" x14ac:dyDescent="0.25">
      <c r="B334" s="148" t="s">
        <v>353</v>
      </c>
      <c r="C334" s="163">
        <v>0.4</v>
      </c>
      <c r="D334" s="163">
        <v>5.65</v>
      </c>
      <c r="E334" s="163">
        <v>0.15</v>
      </c>
      <c r="F334" s="162">
        <f>(D334*C334)+(D334*E334)</f>
        <v>3.1075000000000004</v>
      </c>
      <c r="G334" s="342"/>
      <c r="H334" s="343"/>
      <c r="I334" s="344"/>
    </row>
    <row r="335" spans="2:9" ht="13.5" thickBot="1" x14ac:dyDescent="0.25">
      <c r="B335" s="148" t="s">
        <v>354</v>
      </c>
      <c r="C335" s="163">
        <v>0.27</v>
      </c>
      <c r="D335" s="163">
        <v>5.18</v>
      </c>
      <c r="E335" s="163"/>
      <c r="F335" s="162">
        <f>C335*D335</f>
        <v>1.3986000000000001</v>
      </c>
      <c r="G335" s="342"/>
      <c r="H335" s="343"/>
      <c r="I335" s="344"/>
    </row>
    <row r="336" spans="2:9" ht="13.5" thickBot="1" x14ac:dyDescent="0.25">
      <c r="B336" s="148" t="s">
        <v>353</v>
      </c>
      <c r="C336" s="163">
        <v>0.27</v>
      </c>
      <c r="D336" s="163">
        <v>2</v>
      </c>
      <c r="E336" s="163">
        <v>0.15</v>
      </c>
      <c r="F336" s="162">
        <f>(D336*C336)+(D336*E336)</f>
        <v>0.84000000000000008</v>
      </c>
      <c r="G336" s="342"/>
      <c r="H336" s="343"/>
      <c r="I336" s="344"/>
    </row>
    <row r="337" spans="2:11" ht="13.5" thickBot="1" x14ac:dyDescent="0.25">
      <c r="B337" s="148" t="s">
        <v>354</v>
      </c>
      <c r="C337" s="163">
        <v>0.27</v>
      </c>
      <c r="D337" s="163">
        <v>2</v>
      </c>
      <c r="E337" s="163"/>
      <c r="F337" s="162">
        <f>C337*D337</f>
        <v>0.54</v>
      </c>
      <c r="G337" s="342"/>
      <c r="H337" s="343"/>
      <c r="I337" s="344"/>
    </row>
    <row r="338" spans="2:11" ht="13.5" thickBot="1" x14ac:dyDescent="0.25">
      <c r="B338" s="148" t="s">
        <v>353</v>
      </c>
      <c r="C338" s="163">
        <v>0.4</v>
      </c>
      <c r="D338" s="163">
        <v>0.95</v>
      </c>
      <c r="E338" s="163">
        <v>0.15</v>
      </c>
      <c r="F338" s="162">
        <f>(D338*C338)+(D338*E338)</f>
        <v>0.52249999999999996</v>
      </c>
      <c r="G338" s="342"/>
      <c r="H338" s="343"/>
      <c r="I338" s="344"/>
    </row>
    <row r="339" spans="2:11" ht="13.5" thickBot="1" x14ac:dyDescent="0.25">
      <c r="B339" s="148" t="s">
        <v>354</v>
      </c>
      <c r="C339" s="163">
        <v>0.27</v>
      </c>
      <c r="D339" s="163">
        <v>0.8</v>
      </c>
      <c r="E339" s="163"/>
      <c r="F339" s="162">
        <f>C339*D339</f>
        <v>0.21600000000000003</v>
      </c>
      <c r="G339" s="333"/>
      <c r="H339" s="334"/>
      <c r="I339" s="335"/>
    </row>
    <row r="340" spans="2:11" ht="13.5" thickBot="1" x14ac:dyDescent="0.25">
      <c r="B340" s="148" t="s">
        <v>353</v>
      </c>
      <c r="C340" s="163">
        <v>0.4</v>
      </c>
      <c r="D340" s="163">
        <v>2</v>
      </c>
      <c r="E340" s="163">
        <v>0.15</v>
      </c>
      <c r="F340" s="162">
        <f>(D340*C340)+(D340*E340)</f>
        <v>1.1000000000000001</v>
      </c>
      <c r="G340" s="330" t="s">
        <v>341</v>
      </c>
      <c r="H340" s="331"/>
      <c r="I340" s="332"/>
    </row>
    <row r="341" spans="2:11" ht="13.5" thickBot="1" x14ac:dyDescent="0.25">
      <c r="B341" s="148" t="s">
        <v>354</v>
      </c>
      <c r="C341" s="163">
        <v>0.27</v>
      </c>
      <c r="D341" s="163">
        <v>2</v>
      </c>
      <c r="E341" s="163"/>
      <c r="F341" s="162">
        <f>C341*D341</f>
        <v>0.54</v>
      </c>
      <c r="G341" s="333"/>
      <c r="H341" s="334"/>
      <c r="I341" s="335"/>
      <c r="K341" s="143" t="s">
        <v>357</v>
      </c>
    </row>
    <row r="342" spans="2:11" ht="13.5" thickBot="1" x14ac:dyDescent="0.25">
      <c r="G342" s="143"/>
      <c r="H342" s="143"/>
      <c r="I342" s="143"/>
    </row>
    <row r="343" spans="2:11" ht="13.5" thickBot="1" x14ac:dyDescent="0.25">
      <c r="B343" s="345" t="s">
        <v>0</v>
      </c>
      <c r="C343" s="345" t="s">
        <v>9</v>
      </c>
      <c r="D343" s="345" t="s">
        <v>1</v>
      </c>
      <c r="E343" s="345" t="s">
        <v>189</v>
      </c>
      <c r="F343" s="345" t="s">
        <v>8</v>
      </c>
      <c r="G343" s="143"/>
      <c r="H343" s="143"/>
      <c r="I343" s="143"/>
    </row>
    <row r="344" spans="2:11" ht="13.5" thickBot="1" x14ac:dyDescent="0.25">
      <c r="B344" s="345"/>
      <c r="C344" s="345"/>
      <c r="D344" s="345"/>
      <c r="E344" s="345"/>
      <c r="F344" s="345"/>
      <c r="G344" s="143"/>
      <c r="H344" s="143"/>
      <c r="I344" s="143"/>
    </row>
    <row r="345" spans="2:11" ht="24.75" thickBot="1" x14ac:dyDescent="0.25">
      <c r="B345" s="140" t="s">
        <v>472</v>
      </c>
      <c r="C345" s="260"/>
      <c r="D345" s="135" t="s">
        <v>100</v>
      </c>
      <c r="E345" s="133" t="s">
        <v>440</v>
      </c>
      <c r="F345" s="134">
        <f>SUM(G348:G363)+SUM(G366:G381)+SUM(G384:G407)+SUM(G467:G474)+SUM(G411:G429)</f>
        <v>288.06497000000002</v>
      </c>
      <c r="G345" s="143"/>
      <c r="H345" s="143"/>
      <c r="I345" s="143"/>
    </row>
    <row r="346" spans="2:11" ht="13.5" thickBot="1" x14ac:dyDescent="0.25">
      <c r="B346" s="338" t="s">
        <v>302</v>
      </c>
      <c r="C346" s="339"/>
      <c r="D346" s="339"/>
      <c r="E346" s="339"/>
      <c r="F346" s="339"/>
      <c r="G346" s="339"/>
      <c r="H346" s="339"/>
      <c r="I346" s="340"/>
    </row>
    <row r="347" spans="2:11" ht="13.5" customHeight="1" thickBot="1" x14ac:dyDescent="0.25">
      <c r="B347" s="132" t="s">
        <v>234</v>
      </c>
      <c r="C347" s="132" t="s">
        <v>243</v>
      </c>
      <c r="D347" s="132" t="s">
        <v>255</v>
      </c>
      <c r="E347" s="132" t="s">
        <v>245</v>
      </c>
      <c r="F347" s="132" t="s">
        <v>244</v>
      </c>
      <c r="G347" s="132" t="s">
        <v>246</v>
      </c>
      <c r="H347" s="346" t="s">
        <v>235</v>
      </c>
      <c r="I347" s="346"/>
    </row>
    <row r="348" spans="2:11" ht="12.75" customHeight="1" thickBot="1" x14ac:dyDescent="0.25">
      <c r="B348" s="158">
        <v>4</v>
      </c>
      <c r="C348" s="158" t="s">
        <v>200</v>
      </c>
      <c r="D348" s="163">
        <v>1</v>
      </c>
      <c r="E348" s="163">
        <v>0.61699999999999999</v>
      </c>
      <c r="F348" s="163">
        <f>D348*B348</f>
        <v>4</v>
      </c>
      <c r="G348" s="179">
        <f>F348*E348</f>
        <v>2.468</v>
      </c>
      <c r="H348" s="330" t="s">
        <v>285</v>
      </c>
      <c r="I348" s="332"/>
    </row>
    <row r="349" spans="2:11" ht="13.5" thickBot="1" x14ac:dyDescent="0.25">
      <c r="B349" s="158">
        <v>3</v>
      </c>
      <c r="C349" s="158" t="s">
        <v>195</v>
      </c>
      <c r="D349" s="163">
        <v>0.82</v>
      </c>
      <c r="E349" s="163">
        <v>0.154</v>
      </c>
      <c r="F349" s="163">
        <f t="shared" ref="F349:F363" si="21">D349*B349</f>
        <v>2.46</v>
      </c>
      <c r="G349" s="179">
        <f t="shared" ref="G349:G363" si="22">F349*E349</f>
        <v>0.37884000000000001</v>
      </c>
      <c r="H349" s="333"/>
      <c r="I349" s="335"/>
    </row>
    <row r="350" spans="2:11" ht="13.5" thickBot="1" x14ac:dyDescent="0.25">
      <c r="B350" s="158">
        <v>4</v>
      </c>
      <c r="C350" s="158" t="s">
        <v>200</v>
      </c>
      <c r="D350" s="163">
        <v>1</v>
      </c>
      <c r="E350" s="163">
        <v>0.61699999999999999</v>
      </c>
      <c r="F350" s="163">
        <f t="shared" si="21"/>
        <v>4</v>
      </c>
      <c r="G350" s="179">
        <f t="shared" si="22"/>
        <v>2.468</v>
      </c>
      <c r="H350" s="330" t="s">
        <v>286</v>
      </c>
      <c r="I350" s="332"/>
    </row>
    <row r="351" spans="2:11" ht="13.5" thickBot="1" x14ac:dyDescent="0.25">
      <c r="B351" s="158">
        <v>3</v>
      </c>
      <c r="C351" s="158" t="s">
        <v>195</v>
      </c>
      <c r="D351" s="163">
        <v>0.82</v>
      </c>
      <c r="E351" s="163">
        <v>0.154</v>
      </c>
      <c r="F351" s="163">
        <f t="shared" si="21"/>
        <v>2.46</v>
      </c>
      <c r="G351" s="179">
        <f t="shared" si="22"/>
        <v>0.37884000000000001</v>
      </c>
      <c r="H351" s="333"/>
      <c r="I351" s="335"/>
    </row>
    <row r="352" spans="2:11" ht="12.75" customHeight="1" thickBot="1" x14ac:dyDescent="0.25">
      <c r="B352" s="158">
        <v>4</v>
      </c>
      <c r="C352" s="158" t="s">
        <v>200</v>
      </c>
      <c r="D352" s="163">
        <v>1</v>
      </c>
      <c r="E352" s="163">
        <v>0.61699999999999999</v>
      </c>
      <c r="F352" s="163">
        <f t="shared" si="21"/>
        <v>4</v>
      </c>
      <c r="G352" s="179">
        <f t="shared" si="22"/>
        <v>2.468</v>
      </c>
      <c r="H352" s="330" t="s">
        <v>287</v>
      </c>
      <c r="I352" s="332"/>
    </row>
    <row r="353" spans="2:11" ht="13.5" thickBot="1" x14ac:dyDescent="0.25">
      <c r="B353" s="158">
        <v>3</v>
      </c>
      <c r="C353" s="158" t="s">
        <v>195</v>
      </c>
      <c r="D353" s="163">
        <v>0.82</v>
      </c>
      <c r="E353" s="163">
        <v>0.154</v>
      </c>
      <c r="F353" s="163">
        <f t="shared" si="21"/>
        <v>2.46</v>
      </c>
      <c r="G353" s="179">
        <f t="shared" si="22"/>
        <v>0.37884000000000001</v>
      </c>
      <c r="H353" s="333"/>
      <c r="I353" s="335"/>
    </row>
    <row r="354" spans="2:11" ht="12.75" customHeight="1" thickBot="1" x14ac:dyDescent="0.25">
      <c r="B354" s="158">
        <v>4</v>
      </c>
      <c r="C354" s="158" t="s">
        <v>200</v>
      </c>
      <c r="D354" s="163">
        <v>1</v>
      </c>
      <c r="E354" s="163">
        <v>0.61699999999999999</v>
      </c>
      <c r="F354" s="163">
        <f t="shared" si="21"/>
        <v>4</v>
      </c>
      <c r="G354" s="179">
        <f t="shared" si="22"/>
        <v>2.468</v>
      </c>
      <c r="H354" s="330" t="s">
        <v>288</v>
      </c>
      <c r="I354" s="332"/>
    </row>
    <row r="355" spans="2:11" ht="13.5" thickBot="1" x14ac:dyDescent="0.25">
      <c r="B355" s="158">
        <v>3</v>
      </c>
      <c r="C355" s="158" t="s">
        <v>195</v>
      </c>
      <c r="D355" s="163">
        <v>0.82</v>
      </c>
      <c r="E355" s="163">
        <v>0.154</v>
      </c>
      <c r="F355" s="163">
        <f t="shared" si="21"/>
        <v>2.46</v>
      </c>
      <c r="G355" s="179">
        <f t="shared" si="22"/>
        <v>0.37884000000000001</v>
      </c>
      <c r="H355" s="333"/>
      <c r="I355" s="335"/>
    </row>
    <row r="356" spans="2:11" ht="13.5" thickBot="1" x14ac:dyDescent="0.25">
      <c r="B356" s="158">
        <v>4</v>
      </c>
      <c r="C356" s="158" t="s">
        <v>200</v>
      </c>
      <c r="D356" s="163">
        <v>1</v>
      </c>
      <c r="E356" s="163">
        <v>0.61699999999999999</v>
      </c>
      <c r="F356" s="163">
        <f t="shared" si="21"/>
        <v>4</v>
      </c>
      <c r="G356" s="179">
        <f t="shared" si="22"/>
        <v>2.468</v>
      </c>
      <c r="H356" s="330" t="s">
        <v>289</v>
      </c>
      <c r="I356" s="332"/>
    </row>
    <row r="357" spans="2:11" ht="12.75" customHeight="1" thickBot="1" x14ac:dyDescent="0.25">
      <c r="B357" s="158">
        <v>3</v>
      </c>
      <c r="C357" s="158" t="s">
        <v>195</v>
      </c>
      <c r="D357" s="163">
        <v>0.82</v>
      </c>
      <c r="E357" s="163">
        <v>0.154</v>
      </c>
      <c r="F357" s="163">
        <f t="shared" si="21"/>
        <v>2.46</v>
      </c>
      <c r="G357" s="179">
        <f t="shared" si="22"/>
        <v>0.37884000000000001</v>
      </c>
      <c r="H357" s="333"/>
      <c r="I357" s="335"/>
    </row>
    <row r="358" spans="2:11" ht="13.5" thickBot="1" x14ac:dyDescent="0.25">
      <c r="B358" s="158">
        <v>4</v>
      </c>
      <c r="C358" s="158" t="s">
        <v>200</v>
      </c>
      <c r="D358" s="163">
        <v>1</v>
      </c>
      <c r="E358" s="163">
        <v>0.61699999999999999</v>
      </c>
      <c r="F358" s="163">
        <f t="shared" si="21"/>
        <v>4</v>
      </c>
      <c r="G358" s="179">
        <f t="shared" si="22"/>
        <v>2.468</v>
      </c>
      <c r="H358" s="330" t="s">
        <v>290</v>
      </c>
      <c r="I358" s="332"/>
    </row>
    <row r="359" spans="2:11" ht="13.5" thickBot="1" x14ac:dyDescent="0.25">
      <c r="B359" s="158">
        <v>3</v>
      </c>
      <c r="C359" s="158" t="s">
        <v>195</v>
      </c>
      <c r="D359" s="163">
        <v>0.82</v>
      </c>
      <c r="E359" s="163">
        <v>0.154</v>
      </c>
      <c r="F359" s="163">
        <f t="shared" si="21"/>
        <v>2.46</v>
      </c>
      <c r="G359" s="179">
        <f t="shared" si="22"/>
        <v>0.37884000000000001</v>
      </c>
      <c r="H359" s="333"/>
      <c r="I359" s="335"/>
    </row>
    <row r="360" spans="2:11" ht="13.5" thickBot="1" x14ac:dyDescent="0.25">
      <c r="B360" s="158">
        <v>4</v>
      </c>
      <c r="C360" s="158" t="s">
        <v>200</v>
      </c>
      <c r="D360" s="163">
        <v>1</v>
      </c>
      <c r="E360" s="163">
        <v>0.61699999999999999</v>
      </c>
      <c r="F360" s="163">
        <f t="shared" si="21"/>
        <v>4</v>
      </c>
      <c r="G360" s="179">
        <f t="shared" si="22"/>
        <v>2.468</v>
      </c>
      <c r="H360" s="330" t="s">
        <v>291</v>
      </c>
      <c r="I360" s="332"/>
    </row>
    <row r="361" spans="2:11" ht="13.5" thickBot="1" x14ac:dyDescent="0.25">
      <c r="B361" s="158">
        <v>3</v>
      </c>
      <c r="C361" s="158" t="s">
        <v>195</v>
      </c>
      <c r="D361" s="163">
        <v>0.82</v>
      </c>
      <c r="E361" s="163">
        <v>0.154</v>
      </c>
      <c r="F361" s="163">
        <f t="shared" si="21"/>
        <v>2.46</v>
      </c>
      <c r="G361" s="179">
        <f t="shared" si="22"/>
        <v>0.37884000000000001</v>
      </c>
      <c r="H361" s="333"/>
      <c r="I361" s="335"/>
    </row>
    <row r="362" spans="2:11" ht="12.75" customHeight="1" thickBot="1" x14ac:dyDescent="0.25">
      <c r="B362" s="158">
        <v>4</v>
      </c>
      <c r="C362" s="158" t="s">
        <v>200</v>
      </c>
      <c r="D362" s="163">
        <v>1</v>
      </c>
      <c r="E362" s="163">
        <v>0.61699999999999999</v>
      </c>
      <c r="F362" s="163">
        <f t="shared" si="21"/>
        <v>4</v>
      </c>
      <c r="G362" s="179">
        <f t="shared" si="22"/>
        <v>2.468</v>
      </c>
      <c r="H362" s="330" t="s">
        <v>292</v>
      </c>
      <c r="I362" s="332"/>
    </row>
    <row r="363" spans="2:11" ht="13.5" thickBot="1" x14ac:dyDescent="0.25">
      <c r="B363" s="158">
        <v>3</v>
      </c>
      <c r="C363" s="158" t="s">
        <v>195</v>
      </c>
      <c r="D363" s="163">
        <v>0.82</v>
      </c>
      <c r="E363" s="163">
        <v>0.154</v>
      </c>
      <c r="F363" s="163">
        <f t="shared" si="21"/>
        <v>2.46</v>
      </c>
      <c r="G363" s="179">
        <f t="shared" si="22"/>
        <v>0.37884000000000001</v>
      </c>
      <c r="H363" s="333"/>
      <c r="I363" s="335"/>
      <c r="J363" s="156">
        <f>SUM(F348:F363)</f>
        <v>51.680000000000007</v>
      </c>
      <c r="K363" s="156">
        <f>F345-J363</f>
        <v>236.38497000000001</v>
      </c>
    </row>
    <row r="364" spans="2:11" ht="13.5" thickBot="1" x14ac:dyDescent="0.25">
      <c r="B364" s="338" t="s">
        <v>303</v>
      </c>
      <c r="C364" s="339"/>
      <c r="D364" s="339"/>
      <c r="E364" s="339"/>
      <c r="F364" s="339"/>
      <c r="G364" s="339"/>
      <c r="H364" s="339"/>
      <c r="I364" s="340"/>
    </row>
    <row r="365" spans="2:11" ht="13.5" thickBot="1" x14ac:dyDescent="0.25">
      <c r="B365" s="148" t="s">
        <v>234</v>
      </c>
      <c r="C365" s="148" t="s">
        <v>243</v>
      </c>
      <c r="D365" s="148" t="s">
        <v>255</v>
      </c>
      <c r="E365" s="148" t="s">
        <v>245</v>
      </c>
      <c r="F365" s="148" t="s">
        <v>244</v>
      </c>
      <c r="G365" s="148" t="s">
        <v>246</v>
      </c>
      <c r="H365" s="346" t="s">
        <v>235</v>
      </c>
      <c r="I365" s="346"/>
    </row>
    <row r="366" spans="2:11" ht="13.5" thickBot="1" x14ac:dyDescent="0.25">
      <c r="B366" s="158">
        <v>4</v>
      </c>
      <c r="C366" s="158" t="s">
        <v>200</v>
      </c>
      <c r="D366" s="163">
        <v>1.4</v>
      </c>
      <c r="E366" s="163">
        <v>0.61699999999999999</v>
      </c>
      <c r="F366" s="163">
        <f>D366*B366</f>
        <v>5.6</v>
      </c>
      <c r="G366" s="163">
        <f>F366*E366</f>
        <v>3.4551999999999996</v>
      </c>
      <c r="H366" s="330" t="s">
        <v>285</v>
      </c>
      <c r="I366" s="332"/>
    </row>
    <row r="367" spans="2:11" ht="13.5" thickBot="1" x14ac:dyDescent="0.25">
      <c r="B367" s="158">
        <v>3</v>
      </c>
      <c r="C367" s="158" t="s">
        <v>195</v>
      </c>
      <c r="D367" s="163">
        <v>0.82</v>
      </c>
      <c r="E367" s="163">
        <v>0.154</v>
      </c>
      <c r="F367" s="163">
        <f t="shared" ref="F367:F381" si="23">D367*B367</f>
        <v>2.46</v>
      </c>
      <c r="G367" s="163">
        <f t="shared" ref="G367:G381" si="24">F367*E367</f>
        <v>0.37884000000000001</v>
      </c>
      <c r="H367" s="333"/>
      <c r="I367" s="335"/>
    </row>
    <row r="368" spans="2:11" ht="13.5" thickBot="1" x14ac:dyDescent="0.25">
      <c r="B368" s="158">
        <v>4</v>
      </c>
      <c r="C368" s="158" t="s">
        <v>200</v>
      </c>
      <c r="D368" s="163">
        <v>1.75</v>
      </c>
      <c r="E368" s="163">
        <v>0.61699999999999999</v>
      </c>
      <c r="F368" s="163">
        <f t="shared" si="23"/>
        <v>7</v>
      </c>
      <c r="G368" s="163">
        <f t="shared" si="24"/>
        <v>4.319</v>
      </c>
      <c r="H368" s="330" t="s">
        <v>286</v>
      </c>
      <c r="I368" s="332"/>
    </row>
    <row r="369" spans="2:9" ht="13.5" thickBot="1" x14ac:dyDescent="0.25">
      <c r="B369" s="158">
        <v>3</v>
      </c>
      <c r="C369" s="158" t="s">
        <v>195</v>
      </c>
      <c r="D369" s="163">
        <v>0.82</v>
      </c>
      <c r="E369" s="163">
        <v>0.154</v>
      </c>
      <c r="F369" s="163">
        <f t="shared" si="23"/>
        <v>2.46</v>
      </c>
      <c r="G369" s="163">
        <f t="shared" si="24"/>
        <v>0.37884000000000001</v>
      </c>
      <c r="H369" s="333"/>
      <c r="I369" s="335"/>
    </row>
    <row r="370" spans="2:9" ht="13.5" thickBot="1" x14ac:dyDescent="0.25">
      <c r="B370" s="158">
        <v>4</v>
      </c>
      <c r="C370" s="158" t="s">
        <v>200</v>
      </c>
      <c r="D370" s="163">
        <v>1.9</v>
      </c>
      <c r="E370" s="163">
        <v>0.61699999999999999</v>
      </c>
      <c r="F370" s="163">
        <f t="shared" si="23"/>
        <v>7.6</v>
      </c>
      <c r="G370" s="163">
        <f t="shared" si="24"/>
        <v>4.6891999999999996</v>
      </c>
      <c r="H370" s="330" t="s">
        <v>287</v>
      </c>
      <c r="I370" s="332"/>
    </row>
    <row r="371" spans="2:9" ht="13.5" thickBot="1" x14ac:dyDescent="0.25">
      <c r="B371" s="158">
        <v>3</v>
      </c>
      <c r="C371" s="158" t="s">
        <v>195</v>
      </c>
      <c r="D371" s="163">
        <v>0.82</v>
      </c>
      <c r="E371" s="163">
        <v>0.154</v>
      </c>
      <c r="F371" s="163">
        <f t="shared" si="23"/>
        <v>2.46</v>
      </c>
      <c r="G371" s="163">
        <f t="shared" si="24"/>
        <v>0.37884000000000001</v>
      </c>
      <c r="H371" s="333"/>
      <c r="I371" s="335"/>
    </row>
    <row r="372" spans="2:9" ht="13.5" thickBot="1" x14ac:dyDescent="0.25">
      <c r="B372" s="158">
        <v>4</v>
      </c>
      <c r="C372" s="158" t="s">
        <v>200</v>
      </c>
      <c r="D372" s="163">
        <v>1.55</v>
      </c>
      <c r="E372" s="163">
        <v>0.61699999999999999</v>
      </c>
      <c r="F372" s="163">
        <f t="shared" si="23"/>
        <v>6.2</v>
      </c>
      <c r="G372" s="163">
        <f t="shared" si="24"/>
        <v>3.8254000000000001</v>
      </c>
      <c r="H372" s="330" t="s">
        <v>288</v>
      </c>
      <c r="I372" s="332"/>
    </row>
    <row r="373" spans="2:9" ht="13.5" thickBot="1" x14ac:dyDescent="0.25">
      <c r="B373" s="158">
        <v>3</v>
      </c>
      <c r="C373" s="158" t="s">
        <v>195</v>
      </c>
      <c r="D373" s="163">
        <v>0.82</v>
      </c>
      <c r="E373" s="163">
        <v>0.154</v>
      </c>
      <c r="F373" s="163">
        <f t="shared" si="23"/>
        <v>2.46</v>
      </c>
      <c r="G373" s="163">
        <f t="shared" si="24"/>
        <v>0.37884000000000001</v>
      </c>
      <c r="H373" s="333"/>
      <c r="I373" s="335"/>
    </row>
    <row r="374" spans="2:9" ht="13.5" thickBot="1" x14ac:dyDescent="0.25">
      <c r="B374" s="158">
        <v>4</v>
      </c>
      <c r="C374" s="158" t="s">
        <v>200</v>
      </c>
      <c r="D374" s="163">
        <v>1.3</v>
      </c>
      <c r="E374" s="163">
        <v>0.61699999999999999</v>
      </c>
      <c r="F374" s="163">
        <f t="shared" si="23"/>
        <v>5.2</v>
      </c>
      <c r="G374" s="163">
        <f t="shared" si="24"/>
        <v>3.2084000000000001</v>
      </c>
      <c r="H374" s="330" t="s">
        <v>289</v>
      </c>
      <c r="I374" s="332"/>
    </row>
    <row r="375" spans="2:9" ht="13.5" thickBot="1" x14ac:dyDescent="0.25">
      <c r="B375" s="158">
        <v>3</v>
      </c>
      <c r="C375" s="158" t="s">
        <v>195</v>
      </c>
      <c r="D375" s="163">
        <v>0.82</v>
      </c>
      <c r="E375" s="163">
        <v>0.154</v>
      </c>
      <c r="F375" s="163">
        <f t="shared" si="23"/>
        <v>2.46</v>
      </c>
      <c r="G375" s="163">
        <f t="shared" si="24"/>
        <v>0.37884000000000001</v>
      </c>
      <c r="H375" s="333"/>
      <c r="I375" s="335"/>
    </row>
    <row r="376" spans="2:9" ht="13.5" thickBot="1" x14ac:dyDescent="0.25">
      <c r="B376" s="158">
        <v>4</v>
      </c>
      <c r="C376" s="158" t="s">
        <v>200</v>
      </c>
      <c r="D376" s="163">
        <v>1.75</v>
      </c>
      <c r="E376" s="163">
        <v>0.61699999999999999</v>
      </c>
      <c r="F376" s="163">
        <f t="shared" si="23"/>
        <v>7</v>
      </c>
      <c r="G376" s="163">
        <f t="shared" si="24"/>
        <v>4.319</v>
      </c>
      <c r="H376" s="330" t="s">
        <v>290</v>
      </c>
      <c r="I376" s="332"/>
    </row>
    <row r="377" spans="2:9" ht="13.5" thickBot="1" x14ac:dyDescent="0.25">
      <c r="B377" s="158">
        <v>3</v>
      </c>
      <c r="C377" s="158" t="s">
        <v>195</v>
      </c>
      <c r="D377" s="163">
        <v>0.82</v>
      </c>
      <c r="E377" s="163">
        <v>0.154</v>
      </c>
      <c r="F377" s="163">
        <f t="shared" si="23"/>
        <v>2.46</v>
      </c>
      <c r="G377" s="163">
        <f t="shared" si="24"/>
        <v>0.37884000000000001</v>
      </c>
      <c r="H377" s="333"/>
      <c r="I377" s="335"/>
    </row>
    <row r="378" spans="2:9" ht="13.5" thickBot="1" x14ac:dyDescent="0.25">
      <c r="B378" s="158">
        <v>4</v>
      </c>
      <c r="C378" s="158" t="s">
        <v>200</v>
      </c>
      <c r="D378" s="163">
        <v>1.8</v>
      </c>
      <c r="E378" s="163">
        <v>0.61699999999999999</v>
      </c>
      <c r="F378" s="163">
        <f t="shared" si="23"/>
        <v>7.2</v>
      </c>
      <c r="G378" s="163">
        <f t="shared" si="24"/>
        <v>4.4424000000000001</v>
      </c>
      <c r="H378" s="330" t="s">
        <v>291</v>
      </c>
      <c r="I378" s="332"/>
    </row>
    <row r="379" spans="2:9" ht="13.5" thickBot="1" x14ac:dyDescent="0.25">
      <c r="B379" s="158">
        <v>3</v>
      </c>
      <c r="C379" s="158" t="s">
        <v>195</v>
      </c>
      <c r="D379" s="163">
        <v>0.82</v>
      </c>
      <c r="E379" s="163">
        <v>0.154</v>
      </c>
      <c r="F379" s="163">
        <f t="shared" si="23"/>
        <v>2.46</v>
      </c>
      <c r="G379" s="163">
        <f t="shared" si="24"/>
        <v>0.37884000000000001</v>
      </c>
      <c r="H379" s="333"/>
      <c r="I379" s="335"/>
    </row>
    <row r="380" spans="2:9" ht="13.5" thickBot="1" x14ac:dyDescent="0.25">
      <c r="B380" s="158">
        <v>4</v>
      </c>
      <c r="C380" s="158" t="s">
        <v>200</v>
      </c>
      <c r="D380" s="163">
        <v>1.4</v>
      </c>
      <c r="E380" s="163">
        <v>0.61699999999999999</v>
      </c>
      <c r="F380" s="163">
        <f t="shared" si="23"/>
        <v>5.6</v>
      </c>
      <c r="G380" s="163">
        <f t="shared" si="24"/>
        <v>3.4551999999999996</v>
      </c>
      <c r="H380" s="330" t="s">
        <v>292</v>
      </c>
      <c r="I380" s="332"/>
    </row>
    <row r="381" spans="2:9" ht="13.5" thickBot="1" x14ac:dyDescent="0.25">
      <c r="B381" s="158">
        <v>3</v>
      </c>
      <c r="C381" s="158" t="s">
        <v>195</v>
      </c>
      <c r="D381" s="163">
        <v>0.82</v>
      </c>
      <c r="E381" s="163">
        <v>0.154</v>
      </c>
      <c r="F381" s="163">
        <f t="shared" si="23"/>
        <v>2.46</v>
      </c>
      <c r="G381" s="163">
        <f t="shared" si="24"/>
        <v>0.37884000000000001</v>
      </c>
      <c r="H381" s="333"/>
      <c r="I381" s="335"/>
    </row>
    <row r="382" spans="2:9" ht="13.5" thickBot="1" x14ac:dyDescent="0.25">
      <c r="B382" s="338" t="s">
        <v>293</v>
      </c>
      <c r="C382" s="339"/>
      <c r="D382" s="339"/>
      <c r="E382" s="339"/>
      <c r="F382" s="339"/>
      <c r="G382" s="339"/>
      <c r="H382" s="339"/>
      <c r="I382" s="340"/>
    </row>
    <row r="383" spans="2:9" ht="13.5" thickBot="1" x14ac:dyDescent="0.25">
      <c r="B383" s="148" t="s">
        <v>234</v>
      </c>
      <c r="C383" s="148" t="s">
        <v>243</v>
      </c>
      <c r="D383" s="148" t="s">
        <v>255</v>
      </c>
      <c r="E383" s="148" t="s">
        <v>245</v>
      </c>
      <c r="F383" s="148" t="s">
        <v>244</v>
      </c>
      <c r="G383" s="148" t="s">
        <v>246</v>
      </c>
      <c r="H383" s="346" t="s">
        <v>235</v>
      </c>
      <c r="I383" s="346"/>
    </row>
    <row r="384" spans="2:9" ht="13.5" thickBot="1" x14ac:dyDescent="0.25">
      <c r="B384" s="163">
        <v>4</v>
      </c>
      <c r="C384" s="163" t="s">
        <v>200</v>
      </c>
      <c r="D384" s="163">
        <v>3.13</v>
      </c>
      <c r="E384" s="163">
        <v>0.61699999999999999</v>
      </c>
      <c r="F384" s="163">
        <f>D384*B384</f>
        <v>12.52</v>
      </c>
      <c r="G384" s="163">
        <f>F384*E384</f>
        <v>7.7248399999999995</v>
      </c>
      <c r="H384" s="330" t="s">
        <v>285</v>
      </c>
      <c r="I384" s="332"/>
    </row>
    <row r="385" spans="2:9" ht="13.5" thickBot="1" x14ac:dyDescent="0.25">
      <c r="B385" s="163">
        <v>25</v>
      </c>
      <c r="C385" s="163" t="s">
        <v>195</v>
      </c>
      <c r="D385" s="163">
        <v>0.82</v>
      </c>
      <c r="E385" s="163">
        <v>0.154</v>
      </c>
      <c r="F385" s="163">
        <f t="shared" ref="F385:F407" si="25">D385*B385</f>
        <v>20.5</v>
      </c>
      <c r="G385" s="163">
        <f t="shared" ref="G385:G407" si="26">F385*E385</f>
        <v>3.157</v>
      </c>
      <c r="H385" s="342"/>
      <c r="I385" s="344"/>
    </row>
    <row r="386" spans="2:9" ht="13.5" thickBot="1" x14ac:dyDescent="0.25">
      <c r="B386" s="163">
        <v>2</v>
      </c>
      <c r="C386" s="163" t="s">
        <v>195</v>
      </c>
      <c r="D386" s="163">
        <v>0.9</v>
      </c>
      <c r="E386" s="163">
        <v>0.154</v>
      </c>
      <c r="F386" s="163">
        <f t="shared" si="25"/>
        <v>1.8</v>
      </c>
      <c r="G386" s="163">
        <f t="shared" si="26"/>
        <v>0.2772</v>
      </c>
      <c r="H386" s="333"/>
      <c r="I386" s="335"/>
    </row>
    <row r="387" spans="2:9" ht="13.5" thickBot="1" x14ac:dyDescent="0.25">
      <c r="B387" s="163">
        <v>4</v>
      </c>
      <c r="C387" s="163" t="s">
        <v>200</v>
      </c>
      <c r="D387" s="163">
        <v>3.13</v>
      </c>
      <c r="E387" s="163">
        <v>0.61699999999999999</v>
      </c>
      <c r="F387" s="163">
        <f t="shared" si="25"/>
        <v>12.52</v>
      </c>
      <c r="G387" s="163">
        <f t="shared" si="26"/>
        <v>7.7248399999999995</v>
      </c>
      <c r="H387" s="330" t="s">
        <v>286</v>
      </c>
      <c r="I387" s="332"/>
    </row>
    <row r="388" spans="2:9" ht="13.5" thickBot="1" x14ac:dyDescent="0.25">
      <c r="B388" s="163">
        <v>25</v>
      </c>
      <c r="C388" s="163" t="s">
        <v>195</v>
      </c>
      <c r="D388" s="163">
        <v>0.82</v>
      </c>
      <c r="E388" s="163">
        <v>0.154</v>
      </c>
      <c r="F388" s="163">
        <f t="shared" si="25"/>
        <v>20.5</v>
      </c>
      <c r="G388" s="163">
        <f t="shared" si="26"/>
        <v>3.157</v>
      </c>
      <c r="H388" s="342"/>
      <c r="I388" s="344"/>
    </row>
    <row r="389" spans="2:9" ht="13.5" thickBot="1" x14ac:dyDescent="0.25">
      <c r="B389" s="163">
        <v>2</v>
      </c>
      <c r="C389" s="163" t="s">
        <v>195</v>
      </c>
      <c r="D389" s="163">
        <v>0.9</v>
      </c>
      <c r="E389" s="163">
        <v>0.154</v>
      </c>
      <c r="F389" s="163">
        <f t="shared" si="25"/>
        <v>1.8</v>
      </c>
      <c r="G389" s="163">
        <f t="shared" si="26"/>
        <v>0.2772</v>
      </c>
      <c r="H389" s="333"/>
      <c r="I389" s="335"/>
    </row>
    <row r="390" spans="2:9" ht="13.5" thickBot="1" x14ac:dyDescent="0.25">
      <c r="B390" s="163">
        <v>4</v>
      </c>
      <c r="C390" s="163" t="s">
        <v>200</v>
      </c>
      <c r="D390" s="163">
        <v>3.13</v>
      </c>
      <c r="E390" s="163">
        <v>0.61699999999999999</v>
      </c>
      <c r="F390" s="163">
        <f t="shared" si="25"/>
        <v>12.52</v>
      </c>
      <c r="G390" s="163">
        <f t="shared" si="26"/>
        <v>7.7248399999999995</v>
      </c>
      <c r="H390" s="330" t="s">
        <v>287</v>
      </c>
      <c r="I390" s="332"/>
    </row>
    <row r="391" spans="2:9" ht="13.5" thickBot="1" x14ac:dyDescent="0.25">
      <c r="B391" s="163">
        <v>25</v>
      </c>
      <c r="C391" s="163" t="s">
        <v>195</v>
      </c>
      <c r="D391" s="163">
        <v>0.82</v>
      </c>
      <c r="E391" s="163">
        <v>0.154</v>
      </c>
      <c r="F391" s="163">
        <f t="shared" si="25"/>
        <v>20.5</v>
      </c>
      <c r="G391" s="163">
        <f t="shared" si="26"/>
        <v>3.157</v>
      </c>
      <c r="H391" s="342"/>
      <c r="I391" s="344"/>
    </row>
    <row r="392" spans="2:9" ht="13.5" thickBot="1" x14ac:dyDescent="0.25">
      <c r="B392" s="163">
        <v>2</v>
      </c>
      <c r="C392" s="163" t="s">
        <v>195</v>
      </c>
      <c r="D392" s="163">
        <v>0.9</v>
      </c>
      <c r="E392" s="163">
        <v>0.154</v>
      </c>
      <c r="F392" s="163">
        <f t="shared" si="25"/>
        <v>1.8</v>
      </c>
      <c r="G392" s="163">
        <f t="shared" si="26"/>
        <v>0.2772</v>
      </c>
      <c r="H392" s="333"/>
      <c r="I392" s="335"/>
    </row>
    <row r="393" spans="2:9" ht="13.5" thickBot="1" x14ac:dyDescent="0.25">
      <c r="B393" s="163">
        <v>4</v>
      </c>
      <c r="C393" s="163" t="s">
        <v>200</v>
      </c>
      <c r="D393" s="163">
        <v>3.13</v>
      </c>
      <c r="E393" s="163">
        <v>0.61699999999999999</v>
      </c>
      <c r="F393" s="163">
        <f t="shared" si="25"/>
        <v>12.52</v>
      </c>
      <c r="G393" s="163">
        <f t="shared" si="26"/>
        <v>7.7248399999999995</v>
      </c>
      <c r="H393" s="330" t="s">
        <v>288</v>
      </c>
      <c r="I393" s="332"/>
    </row>
    <row r="394" spans="2:9" ht="13.5" thickBot="1" x14ac:dyDescent="0.25">
      <c r="B394" s="163">
        <v>25</v>
      </c>
      <c r="C394" s="163" t="s">
        <v>195</v>
      </c>
      <c r="D394" s="163">
        <v>0.82</v>
      </c>
      <c r="E394" s="163">
        <v>0.154</v>
      </c>
      <c r="F394" s="163">
        <f t="shared" si="25"/>
        <v>20.5</v>
      </c>
      <c r="G394" s="163">
        <f t="shared" si="26"/>
        <v>3.157</v>
      </c>
      <c r="H394" s="342"/>
      <c r="I394" s="344"/>
    </row>
    <row r="395" spans="2:9" ht="13.5" thickBot="1" x14ac:dyDescent="0.25">
      <c r="B395" s="163">
        <v>2</v>
      </c>
      <c r="C395" s="163" t="s">
        <v>195</v>
      </c>
      <c r="D395" s="163">
        <v>0.9</v>
      </c>
      <c r="E395" s="163">
        <v>0.154</v>
      </c>
      <c r="F395" s="163">
        <f t="shared" si="25"/>
        <v>1.8</v>
      </c>
      <c r="G395" s="163">
        <f t="shared" si="26"/>
        <v>0.2772</v>
      </c>
      <c r="H395" s="333"/>
      <c r="I395" s="335"/>
    </row>
    <row r="396" spans="2:9" ht="13.5" thickBot="1" x14ac:dyDescent="0.25">
      <c r="B396" s="163">
        <v>4</v>
      </c>
      <c r="C396" s="163" t="s">
        <v>200</v>
      </c>
      <c r="D396" s="163">
        <v>3.13</v>
      </c>
      <c r="E396" s="163">
        <v>0.61699999999999999</v>
      </c>
      <c r="F396" s="163">
        <f t="shared" si="25"/>
        <v>12.52</v>
      </c>
      <c r="G396" s="163">
        <f t="shared" si="26"/>
        <v>7.7248399999999995</v>
      </c>
      <c r="H396" s="330" t="s">
        <v>289</v>
      </c>
      <c r="I396" s="332"/>
    </row>
    <row r="397" spans="2:9" ht="13.5" thickBot="1" x14ac:dyDescent="0.25">
      <c r="B397" s="163">
        <v>25</v>
      </c>
      <c r="C397" s="163" t="s">
        <v>195</v>
      </c>
      <c r="D397" s="163">
        <v>0.82</v>
      </c>
      <c r="E397" s="163">
        <v>0.154</v>
      </c>
      <c r="F397" s="163">
        <f t="shared" si="25"/>
        <v>20.5</v>
      </c>
      <c r="G397" s="163">
        <f t="shared" si="26"/>
        <v>3.157</v>
      </c>
      <c r="H397" s="342"/>
      <c r="I397" s="344"/>
    </row>
    <row r="398" spans="2:9" ht="13.5" thickBot="1" x14ac:dyDescent="0.25">
      <c r="B398" s="163">
        <v>2</v>
      </c>
      <c r="C398" s="163" t="s">
        <v>195</v>
      </c>
      <c r="D398" s="163">
        <v>0.9</v>
      </c>
      <c r="E398" s="163">
        <v>0.154</v>
      </c>
      <c r="F398" s="163">
        <f t="shared" si="25"/>
        <v>1.8</v>
      </c>
      <c r="G398" s="163">
        <f t="shared" si="26"/>
        <v>0.2772</v>
      </c>
      <c r="H398" s="333"/>
      <c r="I398" s="335"/>
    </row>
    <row r="399" spans="2:9" ht="13.5" thickBot="1" x14ac:dyDescent="0.25">
      <c r="B399" s="163">
        <v>4</v>
      </c>
      <c r="C399" s="163" t="s">
        <v>200</v>
      </c>
      <c r="D399" s="163">
        <v>3.13</v>
      </c>
      <c r="E399" s="163">
        <v>0.61699999999999999</v>
      </c>
      <c r="F399" s="163">
        <f t="shared" si="25"/>
        <v>12.52</v>
      </c>
      <c r="G399" s="163">
        <f t="shared" si="26"/>
        <v>7.7248399999999995</v>
      </c>
      <c r="H399" s="330" t="s">
        <v>290</v>
      </c>
      <c r="I399" s="332"/>
    </row>
    <row r="400" spans="2:9" ht="13.5" thickBot="1" x14ac:dyDescent="0.25">
      <c r="B400" s="163">
        <v>25</v>
      </c>
      <c r="C400" s="163" t="s">
        <v>195</v>
      </c>
      <c r="D400" s="163">
        <v>0.82</v>
      </c>
      <c r="E400" s="163">
        <v>0.154</v>
      </c>
      <c r="F400" s="163">
        <f t="shared" si="25"/>
        <v>20.5</v>
      </c>
      <c r="G400" s="163">
        <f t="shared" si="26"/>
        <v>3.157</v>
      </c>
      <c r="H400" s="342"/>
      <c r="I400" s="344"/>
    </row>
    <row r="401" spans="2:9" ht="13.5" thickBot="1" x14ac:dyDescent="0.25">
      <c r="B401" s="163">
        <v>2</v>
      </c>
      <c r="C401" s="163" t="s">
        <v>195</v>
      </c>
      <c r="D401" s="163">
        <v>0.9</v>
      </c>
      <c r="E401" s="163">
        <v>0.154</v>
      </c>
      <c r="F401" s="163">
        <f t="shared" si="25"/>
        <v>1.8</v>
      </c>
      <c r="G401" s="163">
        <f t="shared" si="26"/>
        <v>0.2772</v>
      </c>
      <c r="H401" s="333"/>
      <c r="I401" s="335"/>
    </row>
    <row r="402" spans="2:9" ht="13.5" thickBot="1" x14ac:dyDescent="0.25">
      <c r="B402" s="163">
        <v>4</v>
      </c>
      <c r="C402" s="163" t="s">
        <v>200</v>
      </c>
      <c r="D402" s="163">
        <v>3.13</v>
      </c>
      <c r="E402" s="163">
        <v>0.61699999999999999</v>
      </c>
      <c r="F402" s="163">
        <f t="shared" si="25"/>
        <v>12.52</v>
      </c>
      <c r="G402" s="163">
        <f t="shared" si="26"/>
        <v>7.7248399999999995</v>
      </c>
      <c r="H402" s="330" t="s">
        <v>291</v>
      </c>
      <c r="I402" s="332"/>
    </row>
    <row r="403" spans="2:9" ht="13.5" thickBot="1" x14ac:dyDescent="0.25">
      <c r="B403" s="163">
        <v>25</v>
      </c>
      <c r="C403" s="163" t="s">
        <v>195</v>
      </c>
      <c r="D403" s="163">
        <v>0.82</v>
      </c>
      <c r="E403" s="163">
        <v>0.154</v>
      </c>
      <c r="F403" s="163">
        <f t="shared" si="25"/>
        <v>20.5</v>
      </c>
      <c r="G403" s="163">
        <f t="shared" si="26"/>
        <v>3.157</v>
      </c>
      <c r="H403" s="342"/>
      <c r="I403" s="344"/>
    </row>
    <row r="404" spans="2:9" ht="13.5" thickBot="1" x14ac:dyDescent="0.25">
      <c r="B404" s="163">
        <v>2</v>
      </c>
      <c r="C404" s="163" t="s">
        <v>195</v>
      </c>
      <c r="D404" s="163">
        <v>0.9</v>
      </c>
      <c r="E404" s="163">
        <v>0.154</v>
      </c>
      <c r="F404" s="163">
        <f t="shared" si="25"/>
        <v>1.8</v>
      </c>
      <c r="G404" s="163">
        <f t="shared" si="26"/>
        <v>0.2772</v>
      </c>
      <c r="H404" s="333"/>
      <c r="I404" s="335"/>
    </row>
    <row r="405" spans="2:9" ht="13.5" thickBot="1" x14ac:dyDescent="0.25">
      <c r="B405" s="163">
        <v>4</v>
      </c>
      <c r="C405" s="163" t="s">
        <v>200</v>
      </c>
      <c r="D405" s="163">
        <v>3.13</v>
      </c>
      <c r="E405" s="163">
        <v>0.61699999999999999</v>
      </c>
      <c r="F405" s="163">
        <f t="shared" si="25"/>
        <v>12.52</v>
      </c>
      <c r="G405" s="163">
        <f t="shared" si="26"/>
        <v>7.7248399999999995</v>
      </c>
      <c r="H405" s="330" t="s">
        <v>292</v>
      </c>
      <c r="I405" s="332"/>
    </row>
    <row r="406" spans="2:9" ht="13.5" thickBot="1" x14ac:dyDescent="0.25">
      <c r="B406" s="163">
        <v>25</v>
      </c>
      <c r="C406" s="163" t="s">
        <v>195</v>
      </c>
      <c r="D406" s="163">
        <v>0.82</v>
      </c>
      <c r="E406" s="163">
        <v>0.154</v>
      </c>
      <c r="F406" s="163">
        <f t="shared" si="25"/>
        <v>20.5</v>
      </c>
      <c r="G406" s="163">
        <f t="shared" si="26"/>
        <v>3.157</v>
      </c>
      <c r="H406" s="342"/>
      <c r="I406" s="344"/>
    </row>
    <row r="407" spans="2:9" ht="13.5" thickBot="1" x14ac:dyDescent="0.25">
      <c r="B407" s="163">
        <v>2</v>
      </c>
      <c r="C407" s="163" t="s">
        <v>195</v>
      </c>
      <c r="D407" s="163">
        <v>0.9</v>
      </c>
      <c r="E407" s="163">
        <v>0.154</v>
      </c>
      <c r="F407" s="163">
        <f t="shared" si="25"/>
        <v>1.8</v>
      </c>
      <c r="G407" s="163">
        <f t="shared" si="26"/>
        <v>0.2772</v>
      </c>
      <c r="H407" s="333"/>
      <c r="I407" s="335"/>
    </row>
    <row r="408" spans="2:9" ht="13.5" thickBot="1" x14ac:dyDescent="0.25"/>
    <row r="409" spans="2:9" ht="13.5" thickBot="1" x14ac:dyDescent="0.25">
      <c r="B409" s="338" t="s">
        <v>355</v>
      </c>
      <c r="C409" s="339"/>
      <c r="D409" s="339"/>
      <c r="E409" s="339"/>
      <c r="F409" s="339"/>
      <c r="G409" s="339"/>
      <c r="H409" s="339"/>
      <c r="I409" s="340"/>
    </row>
    <row r="410" spans="2:9" ht="13.5" thickBot="1" x14ac:dyDescent="0.25">
      <c r="B410" s="148" t="s">
        <v>234</v>
      </c>
      <c r="C410" s="148" t="s">
        <v>243</v>
      </c>
      <c r="D410" s="148" t="s">
        <v>255</v>
      </c>
      <c r="E410" s="148" t="s">
        <v>245</v>
      </c>
      <c r="F410" s="148" t="s">
        <v>244</v>
      </c>
      <c r="G410" s="148" t="s">
        <v>246</v>
      </c>
      <c r="H410" s="346" t="s">
        <v>235</v>
      </c>
      <c r="I410" s="346"/>
    </row>
    <row r="411" spans="2:9" ht="13.5" thickBot="1" x14ac:dyDescent="0.25">
      <c r="B411" s="163">
        <v>2</v>
      </c>
      <c r="C411" s="163">
        <v>5</v>
      </c>
      <c r="D411" s="163">
        <v>3.85</v>
      </c>
      <c r="E411" s="163">
        <v>0.154</v>
      </c>
      <c r="F411" s="163">
        <f>B411*D411</f>
        <v>7.7</v>
      </c>
      <c r="G411" s="163">
        <f>F411*E411</f>
        <v>1.1858</v>
      </c>
      <c r="H411" s="346" t="s">
        <v>333</v>
      </c>
      <c r="I411" s="346"/>
    </row>
    <row r="412" spans="2:9" ht="13.5" thickBot="1" x14ac:dyDescent="0.25">
      <c r="B412" s="163">
        <v>2</v>
      </c>
      <c r="C412" s="163">
        <v>10</v>
      </c>
      <c r="D412" s="163">
        <v>3.85</v>
      </c>
      <c r="E412" s="163">
        <v>0.61699999999999999</v>
      </c>
      <c r="F412" s="163">
        <f t="shared" ref="F412:F429" si="27">B412*D412</f>
        <v>7.7</v>
      </c>
      <c r="G412" s="163">
        <f t="shared" ref="G412:G429" si="28">F412*E412</f>
        <v>4.7508999999999997</v>
      </c>
      <c r="H412" s="346"/>
      <c r="I412" s="346"/>
    </row>
    <row r="413" spans="2:9" ht="13.5" thickBot="1" x14ac:dyDescent="0.25">
      <c r="B413" s="163">
        <v>2</v>
      </c>
      <c r="C413" s="163" t="s">
        <v>248</v>
      </c>
      <c r="D413" s="163">
        <v>0.75</v>
      </c>
      <c r="E413" s="163">
        <v>0.245</v>
      </c>
      <c r="F413" s="163">
        <f t="shared" si="27"/>
        <v>1.5</v>
      </c>
      <c r="G413" s="163">
        <f t="shared" si="28"/>
        <v>0.36749999999999999</v>
      </c>
      <c r="H413" s="346"/>
      <c r="I413" s="346"/>
    </row>
    <row r="414" spans="2:9" ht="13.5" thickBot="1" x14ac:dyDescent="0.25">
      <c r="B414" s="163">
        <v>17</v>
      </c>
      <c r="C414" s="163">
        <v>5</v>
      </c>
      <c r="D414" s="163">
        <v>1.04</v>
      </c>
      <c r="E414" s="163">
        <v>0.154</v>
      </c>
      <c r="F414" s="163">
        <f t="shared" si="27"/>
        <v>17.68</v>
      </c>
      <c r="G414" s="163">
        <f t="shared" si="28"/>
        <v>2.7227199999999998</v>
      </c>
      <c r="H414" s="346"/>
      <c r="I414" s="346"/>
    </row>
    <row r="415" spans="2:9" ht="13.5" thickBot="1" x14ac:dyDescent="0.25">
      <c r="B415" s="163">
        <v>2</v>
      </c>
      <c r="C415" s="163">
        <v>8</v>
      </c>
      <c r="D415" s="163">
        <v>3.2</v>
      </c>
      <c r="E415" s="163">
        <v>0.39500000000000002</v>
      </c>
      <c r="F415" s="163">
        <f t="shared" si="27"/>
        <v>6.4</v>
      </c>
      <c r="G415" s="163">
        <f t="shared" si="28"/>
        <v>2.5280000000000005</v>
      </c>
      <c r="H415" s="346" t="s">
        <v>334</v>
      </c>
      <c r="I415" s="346"/>
    </row>
    <row r="416" spans="2:9" ht="13.5" thickBot="1" x14ac:dyDescent="0.25">
      <c r="B416" s="163">
        <v>2</v>
      </c>
      <c r="C416" s="163">
        <v>10</v>
      </c>
      <c r="D416" s="163">
        <v>2.85</v>
      </c>
      <c r="E416" s="163">
        <v>0.61699999999999999</v>
      </c>
      <c r="F416" s="163">
        <f t="shared" si="27"/>
        <v>5.7</v>
      </c>
      <c r="G416" s="163">
        <f t="shared" si="28"/>
        <v>3.5169000000000001</v>
      </c>
      <c r="H416" s="346"/>
      <c r="I416" s="346"/>
    </row>
    <row r="417" spans="2:11" ht="13.5" thickBot="1" x14ac:dyDescent="0.25">
      <c r="B417" s="163">
        <v>11</v>
      </c>
      <c r="C417" s="163">
        <v>5</v>
      </c>
      <c r="D417" s="163">
        <v>1.04</v>
      </c>
      <c r="E417" s="163">
        <v>0.154</v>
      </c>
      <c r="F417" s="163">
        <f t="shared" si="27"/>
        <v>11.440000000000001</v>
      </c>
      <c r="G417" s="163">
        <f t="shared" si="28"/>
        <v>1.7617600000000002</v>
      </c>
      <c r="H417" s="346"/>
      <c r="I417" s="346"/>
    </row>
    <row r="418" spans="2:11" ht="13.5" thickBot="1" x14ac:dyDescent="0.25">
      <c r="B418" s="163">
        <v>2</v>
      </c>
      <c r="C418" s="163">
        <v>10</v>
      </c>
      <c r="D418" s="163">
        <v>5.45</v>
      </c>
      <c r="E418" s="163">
        <v>0.61699999999999999</v>
      </c>
      <c r="F418" s="163">
        <f t="shared" si="27"/>
        <v>10.9</v>
      </c>
      <c r="G418" s="163">
        <f t="shared" si="28"/>
        <v>6.7252999999999998</v>
      </c>
      <c r="H418" s="330" t="s">
        <v>340</v>
      </c>
      <c r="I418" s="332"/>
    </row>
    <row r="419" spans="2:11" ht="13.5" thickBot="1" x14ac:dyDescent="0.25">
      <c r="B419" s="163">
        <v>2</v>
      </c>
      <c r="C419" s="163">
        <v>5</v>
      </c>
      <c r="D419" s="163">
        <v>2.2000000000000002</v>
      </c>
      <c r="E419" s="163">
        <v>0.154</v>
      </c>
      <c r="F419" s="163">
        <f t="shared" si="27"/>
        <v>4.4000000000000004</v>
      </c>
      <c r="G419" s="163">
        <f t="shared" si="28"/>
        <v>0.67760000000000009</v>
      </c>
      <c r="H419" s="342"/>
      <c r="I419" s="344"/>
    </row>
    <row r="420" spans="2:11" ht="13.5" thickBot="1" x14ac:dyDescent="0.25">
      <c r="B420" s="163">
        <v>2</v>
      </c>
      <c r="C420" s="163">
        <v>10</v>
      </c>
      <c r="D420" s="163">
        <v>5.95</v>
      </c>
      <c r="E420" s="163">
        <v>0.61699999999999999</v>
      </c>
      <c r="F420" s="163">
        <f t="shared" si="27"/>
        <v>11.9</v>
      </c>
      <c r="G420" s="163">
        <f t="shared" si="28"/>
        <v>7.3422999999999998</v>
      </c>
      <c r="H420" s="342"/>
      <c r="I420" s="344"/>
    </row>
    <row r="421" spans="2:11" ht="13.5" thickBot="1" x14ac:dyDescent="0.25">
      <c r="B421" s="163">
        <v>2</v>
      </c>
      <c r="C421" s="163">
        <v>10</v>
      </c>
      <c r="D421" s="163">
        <v>9.3000000000000007</v>
      </c>
      <c r="E421" s="163">
        <v>0.61699999999999999</v>
      </c>
      <c r="F421" s="163">
        <f t="shared" si="27"/>
        <v>18.600000000000001</v>
      </c>
      <c r="G421" s="163">
        <f t="shared" si="28"/>
        <v>11.4762</v>
      </c>
      <c r="H421" s="342"/>
      <c r="I421" s="344"/>
    </row>
    <row r="422" spans="2:11" ht="13.5" thickBot="1" x14ac:dyDescent="0.25">
      <c r="B422" s="163">
        <v>2</v>
      </c>
      <c r="C422" s="163">
        <v>10</v>
      </c>
      <c r="D422" s="163">
        <v>3.6</v>
      </c>
      <c r="E422" s="163">
        <v>0.61699999999999999</v>
      </c>
      <c r="F422" s="163">
        <f t="shared" si="27"/>
        <v>7.2</v>
      </c>
      <c r="G422" s="163">
        <f t="shared" si="28"/>
        <v>4.4424000000000001</v>
      </c>
      <c r="H422" s="342"/>
      <c r="I422" s="344"/>
    </row>
    <row r="423" spans="2:11" ht="13.5" thickBot="1" x14ac:dyDescent="0.25">
      <c r="B423" s="163">
        <v>10</v>
      </c>
      <c r="C423" s="163">
        <v>5</v>
      </c>
      <c r="D423" s="163">
        <v>1.04</v>
      </c>
      <c r="E423" s="163">
        <v>0.154</v>
      </c>
      <c r="F423" s="163">
        <f t="shared" si="27"/>
        <v>10.4</v>
      </c>
      <c r="G423" s="163">
        <f t="shared" si="28"/>
        <v>1.6016000000000001</v>
      </c>
      <c r="H423" s="342"/>
      <c r="I423" s="344"/>
    </row>
    <row r="424" spans="2:11" ht="13.5" thickBot="1" x14ac:dyDescent="0.25">
      <c r="B424" s="163">
        <v>50</v>
      </c>
      <c r="C424" s="163">
        <v>5</v>
      </c>
      <c r="D424" s="163">
        <v>1.1399999999999999</v>
      </c>
      <c r="E424" s="163">
        <v>0.154</v>
      </c>
      <c r="F424" s="163">
        <f t="shared" si="27"/>
        <v>56.999999999999993</v>
      </c>
      <c r="G424" s="163">
        <f t="shared" si="28"/>
        <v>8.7779999999999987</v>
      </c>
      <c r="H424" s="342"/>
      <c r="I424" s="344"/>
    </row>
    <row r="425" spans="2:11" ht="13.5" thickBot="1" x14ac:dyDescent="0.25">
      <c r="B425" s="163">
        <v>8</v>
      </c>
      <c r="C425" s="163">
        <v>5</v>
      </c>
      <c r="D425" s="163">
        <v>2.6</v>
      </c>
      <c r="E425" s="163">
        <v>0.154</v>
      </c>
      <c r="F425" s="163">
        <f t="shared" si="27"/>
        <v>20.8</v>
      </c>
      <c r="G425" s="163">
        <f t="shared" si="28"/>
        <v>3.2032000000000003</v>
      </c>
      <c r="H425" s="342"/>
      <c r="I425" s="344"/>
    </row>
    <row r="426" spans="2:11" ht="13.5" thickBot="1" x14ac:dyDescent="0.25">
      <c r="B426" s="163">
        <v>4</v>
      </c>
      <c r="C426" s="163">
        <v>5</v>
      </c>
      <c r="D426" s="163">
        <v>6.02</v>
      </c>
      <c r="E426" s="163">
        <v>0.154</v>
      </c>
      <c r="F426" s="163">
        <f t="shared" si="27"/>
        <v>24.08</v>
      </c>
      <c r="G426" s="163">
        <f t="shared" si="28"/>
        <v>3.7083199999999996</v>
      </c>
      <c r="H426" s="333"/>
      <c r="I426" s="335"/>
    </row>
    <row r="427" spans="2:11" ht="13.5" thickBot="1" x14ac:dyDescent="0.25">
      <c r="B427" s="163">
        <v>2</v>
      </c>
      <c r="C427" s="163">
        <v>8</v>
      </c>
      <c r="D427" s="163">
        <v>3.2</v>
      </c>
      <c r="E427" s="163">
        <v>0.39500000000000002</v>
      </c>
      <c r="F427" s="163">
        <f t="shared" si="27"/>
        <v>6.4</v>
      </c>
      <c r="G427" s="163">
        <f t="shared" si="28"/>
        <v>2.5280000000000005</v>
      </c>
      <c r="H427" s="346" t="s">
        <v>341</v>
      </c>
      <c r="I427" s="346"/>
    </row>
    <row r="428" spans="2:11" ht="13.5" thickBot="1" x14ac:dyDescent="0.25">
      <c r="B428" s="163">
        <v>2</v>
      </c>
      <c r="C428" s="163">
        <v>10</v>
      </c>
      <c r="D428" s="163">
        <v>2.85</v>
      </c>
      <c r="E428" s="163">
        <v>0.61699999999999999</v>
      </c>
      <c r="F428" s="163">
        <f t="shared" si="27"/>
        <v>5.7</v>
      </c>
      <c r="G428" s="163">
        <f t="shared" si="28"/>
        <v>3.5169000000000001</v>
      </c>
      <c r="H428" s="346"/>
      <c r="I428" s="346"/>
    </row>
    <row r="429" spans="2:11" ht="13.5" thickBot="1" x14ac:dyDescent="0.25">
      <c r="B429" s="163">
        <v>11</v>
      </c>
      <c r="C429" s="163">
        <v>5</v>
      </c>
      <c r="D429" s="163">
        <v>1.04</v>
      </c>
      <c r="E429" s="163">
        <v>0.154</v>
      </c>
      <c r="F429" s="163">
        <f t="shared" si="27"/>
        <v>11.440000000000001</v>
      </c>
      <c r="G429" s="163">
        <f t="shared" si="28"/>
        <v>1.7617600000000002</v>
      </c>
      <c r="H429" s="346"/>
      <c r="I429" s="346"/>
      <c r="J429" s="156">
        <f>SUM(G411:G429)</f>
        <v>72.595160000000007</v>
      </c>
      <c r="K429" s="143" t="s">
        <v>357</v>
      </c>
    </row>
    <row r="430" spans="2:11" ht="15.75" thickBot="1" x14ac:dyDescent="0.25">
      <c r="B430" s="225"/>
      <c r="C430" s="225"/>
      <c r="D430" s="226"/>
      <c r="E430" s="226"/>
      <c r="F430" s="227"/>
      <c r="G430" s="227"/>
      <c r="H430" s="206"/>
      <c r="I430" s="206"/>
      <c r="J430" s="156"/>
      <c r="K430" s="143"/>
    </row>
    <row r="431" spans="2:11" ht="13.5" thickBot="1" x14ac:dyDescent="0.25">
      <c r="B431" s="355" t="s">
        <v>462</v>
      </c>
      <c r="C431" s="356"/>
      <c r="D431" s="356"/>
      <c r="E431" s="356"/>
      <c r="F431" s="356"/>
      <c r="G431" s="356"/>
      <c r="H431" s="356"/>
      <c r="I431" s="357"/>
      <c r="J431" s="156"/>
      <c r="K431" s="143"/>
    </row>
    <row r="432" spans="2:11" ht="13.5" thickBot="1" x14ac:dyDescent="0.25">
      <c r="B432" s="205" t="s">
        <v>234</v>
      </c>
      <c r="C432" s="205" t="s">
        <v>243</v>
      </c>
      <c r="D432" s="205" t="s">
        <v>255</v>
      </c>
      <c r="E432" s="205" t="s">
        <v>245</v>
      </c>
      <c r="F432" s="205" t="s">
        <v>317</v>
      </c>
      <c r="G432" s="205" t="s">
        <v>316</v>
      </c>
      <c r="H432" s="349" t="s">
        <v>235</v>
      </c>
      <c r="I432" s="350"/>
      <c r="J432" s="156"/>
      <c r="K432" s="143"/>
    </row>
    <row r="433" spans="2:11" ht="13.5" thickBot="1" x14ac:dyDescent="0.25">
      <c r="B433" s="163"/>
      <c r="C433" s="163" t="s">
        <v>195</v>
      </c>
      <c r="D433" s="163"/>
      <c r="E433" s="179">
        <v>0.154</v>
      </c>
      <c r="F433" s="163">
        <f>F349+F351+F353+F355+F357+F359+F361+F363+F367+F369+F371+F373+F375+F377+F379+F381+F385+F386+F388+F389+F391+F392+F394+F395+F397+F398+F400+F401+F403+F404+F406+F411+F414+F417+F419+F423+F424+F425+F426+F429+F407</f>
        <v>382.7</v>
      </c>
      <c r="G433" s="163">
        <f>E433*F433</f>
        <v>58.9358</v>
      </c>
      <c r="H433" s="141"/>
      <c r="I433" s="141"/>
      <c r="J433" s="156"/>
      <c r="K433" s="143"/>
    </row>
    <row r="434" spans="2:11" ht="13.5" thickBot="1" x14ac:dyDescent="0.25">
      <c r="B434" s="163"/>
      <c r="C434" s="163" t="s">
        <v>248</v>
      </c>
      <c r="D434" s="163"/>
      <c r="E434" s="179">
        <v>0.245</v>
      </c>
      <c r="F434" s="163">
        <f>F413</f>
        <v>1.5</v>
      </c>
      <c r="G434" s="163">
        <f>E434*F434</f>
        <v>0.36749999999999999</v>
      </c>
      <c r="H434" s="141"/>
      <c r="I434" s="141"/>
      <c r="J434" s="156"/>
      <c r="K434" s="143"/>
    </row>
    <row r="435" spans="2:11" ht="13.5" thickBot="1" x14ac:dyDescent="0.25">
      <c r="B435" s="163"/>
      <c r="C435" s="163" t="s">
        <v>198</v>
      </c>
      <c r="D435" s="163"/>
      <c r="E435" s="179">
        <v>0.39500000000000002</v>
      </c>
      <c r="F435" s="163">
        <f>F415+F427</f>
        <v>12.8</v>
      </c>
      <c r="G435" s="163">
        <f>E435*F435</f>
        <v>5.0560000000000009</v>
      </c>
      <c r="H435" s="141"/>
      <c r="I435" s="141"/>
      <c r="J435" s="156"/>
      <c r="K435" s="143"/>
    </row>
    <row r="436" spans="2:11" ht="13.5" thickBot="1" x14ac:dyDescent="0.25">
      <c r="B436" s="163"/>
      <c r="C436" s="163" t="s">
        <v>200</v>
      </c>
      <c r="D436" s="163"/>
      <c r="E436" s="179">
        <v>0.61699999999999999</v>
      </c>
      <c r="F436" s="163">
        <f>F348+F350+F352+F354+F356+F358+F360+F362+F366+F368+F370+F372+F374+F376+F378+F380+F384+F387+F390+F393+F396+F399+F402+F405+F412+F416+F418+F420+F421+F422+F428</f>
        <v>251.26</v>
      </c>
      <c r="G436" s="163">
        <f>E436*F436</f>
        <v>155.02742000000001</v>
      </c>
      <c r="H436" s="141"/>
      <c r="I436" s="141"/>
      <c r="J436" s="156">
        <f>SUM(G433:G436)</f>
        <v>219.38672000000003</v>
      </c>
      <c r="K436" s="143"/>
    </row>
    <row r="437" spans="2:11" ht="15.75" thickBot="1" x14ac:dyDescent="0.25">
      <c r="B437" s="225"/>
      <c r="C437" s="225"/>
      <c r="D437" s="226"/>
      <c r="E437" s="226"/>
      <c r="F437" s="227"/>
      <c r="G437" s="227"/>
      <c r="H437" s="228"/>
      <c r="I437" s="206"/>
      <c r="J437" s="156"/>
      <c r="K437" s="143"/>
    </row>
    <row r="438" spans="2:11" ht="13.5" thickBot="1" x14ac:dyDescent="0.25">
      <c r="B438" s="345" t="s">
        <v>0</v>
      </c>
      <c r="C438" s="345" t="s">
        <v>9</v>
      </c>
      <c r="D438" s="345" t="s">
        <v>1</v>
      </c>
      <c r="E438" s="345" t="s">
        <v>189</v>
      </c>
      <c r="F438" s="347" t="s">
        <v>8</v>
      </c>
      <c r="G438" s="348"/>
      <c r="H438" s="143"/>
      <c r="I438" s="143"/>
      <c r="J438" s="156"/>
      <c r="K438" s="143"/>
    </row>
    <row r="439" spans="2:11" ht="13.5" thickBot="1" x14ac:dyDescent="0.25">
      <c r="B439" s="345"/>
      <c r="C439" s="345"/>
      <c r="D439" s="345"/>
      <c r="E439" s="345"/>
      <c r="F439" s="347"/>
      <c r="G439" s="348"/>
      <c r="H439" s="143"/>
      <c r="I439" s="143"/>
      <c r="J439" s="156"/>
      <c r="K439" s="143"/>
    </row>
    <row r="440" spans="2:11" ht="48.75" thickBot="1" x14ac:dyDescent="0.25">
      <c r="B440" s="140" t="s">
        <v>72</v>
      </c>
      <c r="C440" s="140">
        <v>92759</v>
      </c>
      <c r="D440" s="135" t="s">
        <v>586</v>
      </c>
      <c r="E440" s="133" t="s">
        <v>440</v>
      </c>
      <c r="F440" s="336">
        <f>G442</f>
        <v>58.9358</v>
      </c>
      <c r="G440" s="337"/>
      <c r="H440" s="143"/>
      <c r="I440" s="143"/>
      <c r="J440" s="156"/>
      <c r="K440" s="143"/>
    </row>
    <row r="441" spans="2:11" ht="13.5" thickBot="1" x14ac:dyDescent="0.25">
      <c r="B441" s="205" t="s">
        <v>234</v>
      </c>
      <c r="C441" s="205" t="s">
        <v>243</v>
      </c>
      <c r="D441" s="205" t="s">
        <v>255</v>
      </c>
      <c r="E441" s="205" t="s">
        <v>245</v>
      </c>
      <c r="F441" s="205" t="s">
        <v>317</v>
      </c>
      <c r="G441" s="205" t="s">
        <v>316</v>
      </c>
      <c r="H441" s="349" t="s">
        <v>235</v>
      </c>
      <c r="I441" s="350"/>
      <c r="J441" s="156"/>
      <c r="K441" s="143"/>
    </row>
    <row r="442" spans="2:11" ht="13.5" thickBot="1" x14ac:dyDescent="0.25">
      <c r="B442" s="163"/>
      <c r="C442" s="163"/>
      <c r="D442" s="163"/>
      <c r="E442" s="179"/>
      <c r="F442" s="163"/>
      <c r="G442" s="189">
        <f>G433</f>
        <v>58.9358</v>
      </c>
      <c r="H442" s="328"/>
      <c r="I442" s="329"/>
      <c r="J442" s="156"/>
      <c r="K442" s="143"/>
    </row>
    <row r="443" spans="2:11" ht="13.5" thickBot="1" x14ac:dyDescent="0.25">
      <c r="G443" s="156"/>
      <c r="I443" s="156"/>
      <c r="J443" s="156"/>
      <c r="K443" s="143"/>
    </row>
    <row r="444" spans="2:11" ht="13.5" thickBot="1" x14ac:dyDescent="0.25">
      <c r="B444" s="345" t="s">
        <v>0</v>
      </c>
      <c r="C444" s="345" t="s">
        <v>9</v>
      </c>
      <c r="D444" s="345" t="s">
        <v>1</v>
      </c>
      <c r="E444" s="345" t="s">
        <v>189</v>
      </c>
      <c r="F444" s="347" t="s">
        <v>8</v>
      </c>
      <c r="G444" s="348"/>
      <c r="H444" s="143"/>
      <c r="I444" s="143"/>
      <c r="J444" s="156"/>
      <c r="K444" s="143"/>
    </row>
    <row r="445" spans="2:11" ht="13.5" thickBot="1" x14ac:dyDescent="0.25">
      <c r="B445" s="345"/>
      <c r="C445" s="345"/>
      <c r="D445" s="345"/>
      <c r="E445" s="345"/>
      <c r="F445" s="347"/>
      <c r="G445" s="348"/>
      <c r="H445" s="143"/>
      <c r="I445" s="143"/>
      <c r="J445" s="156"/>
      <c r="K445" s="143"/>
    </row>
    <row r="446" spans="2:11" ht="48.75" thickBot="1" x14ac:dyDescent="0.25">
      <c r="B446" s="140" t="s">
        <v>88</v>
      </c>
      <c r="C446" s="140">
        <v>92760</v>
      </c>
      <c r="D446" s="135" t="s">
        <v>587</v>
      </c>
      <c r="E446" s="133" t="s">
        <v>440</v>
      </c>
      <c r="F446" s="336">
        <f>G448</f>
        <v>0.36749999999999999</v>
      </c>
      <c r="G446" s="337"/>
      <c r="H446" s="143"/>
      <c r="I446" s="143"/>
      <c r="J446" s="156"/>
      <c r="K446" s="143"/>
    </row>
    <row r="447" spans="2:11" ht="13.5" thickBot="1" x14ac:dyDescent="0.25">
      <c r="B447" s="205" t="s">
        <v>234</v>
      </c>
      <c r="C447" s="205" t="s">
        <v>243</v>
      </c>
      <c r="D447" s="205" t="s">
        <v>255</v>
      </c>
      <c r="E447" s="205" t="s">
        <v>245</v>
      </c>
      <c r="F447" s="205" t="s">
        <v>317</v>
      </c>
      <c r="G447" s="205" t="s">
        <v>316</v>
      </c>
      <c r="H447" s="349" t="s">
        <v>235</v>
      </c>
      <c r="I447" s="350"/>
      <c r="J447" s="156"/>
      <c r="K447" s="143"/>
    </row>
    <row r="448" spans="2:11" ht="13.5" thickBot="1" x14ac:dyDescent="0.25">
      <c r="B448" s="163"/>
      <c r="C448" s="163"/>
      <c r="D448" s="163"/>
      <c r="E448" s="179"/>
      <c r="F448" s="163"/>
      <c r="G448" s="189">
        <f>G434</f>
        <v>0.36749999999999999</v>
      </c>
      <c r="H448" s="328"/>
      <c r="I448" s="329"/>
      <c r="J448" s="156"/>
      <c r="K448" s="143"/>
    </row>
    <row r="449" spans="2:11" ht="13.5" thickBot="1" x14ac:dyDescent="0.25">
      <c r="G449" s="156"/>
      <c r="I449" s="156"/>
      <c r="J449" s="156"/>
      <c r="K449" s="143"/>
    </row>
    <row r="450" spans="2:11" ht="13.5" thickBot="1" x14ac:dyDescent="0.25">
      <c r="B450" s="345" t="s">
        <v>0</v>
      </c>
      <c r="C450" s="345" t="s">
        <v>9</v>
      </c>
      <c r="D450" s="345" t="s">
        <v>1</v>
      </c>
      <c r="E450" s="345" t="s">
        <v>189</v>
      </c>
      <c r="F450" s="347" t="s">
        <v>8</v>
      </c>
      <c r="G450" s="348"/>
      <c r="H450" s="143"/>
      <c r="I450" s="143"/>
      <c r="J450" s="156"/>
      <c r="K450" s="143"/>
    </row>
    <row r="451" spans="2:11" ht="13.5" thickBot="1" x14ac:dyDescent="0.25">
      <c r="B451" s="345"/>
      <c r="C451" s="345"/>
      <c r="D451" s="345"/>
      <c r="E451" s="345"/>
      <c r="F451" s="347"/>
      <c r="G451" s="348"/>
      <c r="H451" s="143"/>
      <c r="I451" s="143"/>
      <c r="J451" s="156"/>
      <c r="K451" s="143"/>
    </row>
    <row r="452" spans="2:11" ht="48.75" thickBot="1" x14ac:dyDescent="0.25">
      <c r="B452" s="140" t="s">
        <v>89</v>
      </c>
      <c r="C452" s="140">
        <v>92761</v>
      </c>
      <c r="D452" s="135" t="s">
        <v>588</v>
      </c>
      <c r="E452" s="133" t="s">
        <v>440</v>
      </c>
      <c r="F452" s="336">
        <f>G454</f>
        <v>5.0560000000000009</v>
      </c>
      <c r="G452" s="337"/>
      <c r="H452" s="143"/>
      <c r="I452" s="143"/>
      <c r="J452" s="156"/>
      <c r="K452" s="143"/>
    </row>
    <row r="453" spans="2:11" ht="13.5" thickBot="1" x14ac:dyDescent="0.25">
      <c r="B453" s="205" t="s">
        <v>234</v>
      </c>
      <c r="C453" s="205" t="s">
        <v>243</v>
      </c>
      <c r="D453" s="205" t="s">
        <v>255</v>
      </c>
      <c r="E453" s="205" t="s">
        <v>245</v>
      </c>
      <c r="F453" s="205" t="s">
        <v>317</v>
      </c>
      <c r="G453" s="205" t="s">
        <v>316</v>
      </c>
      <c r="H453" s="349" t="s">
        <v>235</v>
      </c>
      <c r="I453" s="350"/>
      <c r="J453" s="156"/>
      <c r="K453" s="143"/>
    </row>
    <row r="454" spans="2:11" ht="13.5" thickBot="1" x14ac:dyDescent="0.25">
      <c r="B454" s="163"/>
      <c r="C454" s="163"/>
      <c r="D454" s="163"/>
      <c r="E454" s="179"/>
      <c r="F454" s="163"/>
      <c r="G454" s="189">
        <f>G435</f>
        <v>5.0560000000000009</v>
      </c>
      <c r="H454" s="328"/>
      <c r="I454" s="329"/>
      <c r="J454" s="156"/>
      <c r="K454" s="143"/>
    </row>
    <row r="455" spans="2:11" ht="13.5" thickBot="1" x14ac:dyDescent="0.25">
      <c r="G455" s="156"/>
      <c r="I455" s="156"/>
      <c r="J455" s="156"/>
      <c r="K455" s="143"/>
    </row>
    <row r="456" spans="2:11" ht="13.5" thickBot="1" x14ac:dyDescent="0.25">
      <c r="B456" s="345" t="s">
        <v>0</v>
      </c>
      <c r="C456" s="345" t="s">
        <v>9</v>
      </c>
      <c r="D456" s="345" t="s">
        <v>1</v>
      </c>
      <c r="E456" s="345" t="s">
        <v>189</v>
      </c>
      <c r="F456" s="347" t="s">
        <v>8</v>
      </c>
      <c r="G456" s="348"/>
      <c r="H456" s="143"/>
      <c r="I456" s="143"/>
      <c r="J456" s="156"/>
      <c r="K456" s="143"/>
    </row>
    <row r="457" spans="2:11" ht="13.5" thickBot="1" x14ac:dyDescent="0.25">
      <c r="B457" s="345"/>
      <c r="C457" s="345"/>
      <c r="D457" s="345"/>
      <c r="E457" s="345"/>
      <c r="F457" s="347"/>
      <c r="G457" s="348"/>
      <c r="H457" s="143"/>
      <c r="I457" s="143"/>
      <c r="J457" s="156"/>
      <c r="K457" s="143"/>
    </row>
    <row r="458" spans="2:11" ht="48.75" thickBot="1" x14ac:dyDescent="0.25">
      <c r="B458" s="140" t="s">
        <v>104</v>
      </c>
      <c r="C458" s="140">
        <v>92762</v>
      </c>
      <c r="D458" s="135" t="s">
        <v>589</v>
      </c>
      <c r="E458" s="133" t="s">
        <v>440</v>
      </c>
      <c r="F458" s="336">
        <f>G460</f>
        <v>155.02742000000001</v>
      </c>
      <c r="G458" s="337"/>
      <c r="H458" s="143"/>
      <c r="I458" s="143"/>
      <c r="J458" s="156"/>
      <c r="K458" s="143"/>
    </row>
    <row r="459" spans="2:11" ht="13.5" thickBot="1" x14ac:dyDescent="0.25">
      <c r="B459" s="205" t="s">
        <v>234</v>
      </c>
      <c r="C459" s="205" t="s">
        <v>243</v>
      </c>
      <c r="D459" s="205" t="s">
        <v>255</v>
      </c>
      <c r="E459" s="205" t="s">
        <v>245</v>
      </c>
      <c r="F459" s="205" t="s">
        <v>317</v>
      </c>
      <c r="G459" s="205" t="s">
        <v>316</v>
      </c>
      <c r="H459" s="349" t="s">
        <v>235</v>
      </c>
      <c r="I459" s="350"/>
      <c r="J459" s="156"/>
      <c r="K459" s="143"/>
    </row>
    <row r="460" spans="2:11" ht="13.5" thickBot="1" x14ac:dyDescent="0.25">
      <c r="B460" s="163"/>
      <c r="C460" s="163"/>
      <c r="D460" s="163"/>
      <c r="E460" s="179"/>
      <c r="F460" s="163"/>
      <c r="G460" s="189">
        <f>G436</f>
        <v>155.02742000000001</v>
      </c>
      <c r="H460" s="328"/>
      <c r="I460" s="329"/>
      <c r="J460" s="156"/>
      <c r="K460" s="143"/>
    </row>
    <row r="461" spans="2:11" ht="15.75" thickBot="1" x14ac:dyDescent="0.25">
      <c r="B461" s="225"/>
      <c r="C461" s="225"/>
      <c r="D461" s="226"/>
      <c r="E461" s="226"/>
      <c r="F461" s="227"/>
      <c r="G461" s="227"/>
      <c r="H461" s="206"/>
      <c r="I461" s="206"/>
      <c r="J461" s="156"/>
      <c r="K461" s="143"/>
    </row>
    <row r="462" spans="2:11" ht="15.75" thickBot="1" x14ac:dyDescent="0.25">
      <c r="B462" s="345" t="s">
        <v>0</v>
      </c>
      <c r="C462" s="345" t="s">
        <v>9</v>
      </c>
      <c r="D462" s="345" t="s">
        <v>1</v>
      </c>
      <c r="E462" s="345" t="s">
        <v>189</v>
      </c>
      <c r="F462" s="345" t="s">
        <v>8</v>
      </c>
      <c r="G462" s="227"/>
      <c r="H462" s="255"/>
      <c r="I462" s="255"/>
      <c r="J462" s="156"/>
      <c r="K462" s="143"/>
    </row>
    <row r="463" spans="2:11" ht="15.75" thickBot="1" x14ac:dyDescent="0.25">
      <c r="B463" s="345"/>
      <c r="C463" s="345"/>
      <c r="D463" s="345"/>
      <c r="E463" s="345"/>
      <c r="F463" s="345"/>
      <c r="G463" s="227"/>
      <c r="H463" s="255"/>
      <c r="I463" s="255"/>
      <c r="J463" s="156"/>
      <c r="K463" s="143"/>
    </row>
    <row r="464" spans="2:11" ht="24.75" thickBot="1" x14ac:dyDescent="0.25">
      <c r="B464" s="140" t="s">
        <v>591</v>
      </c>
      <c r="C464" s="138"/>
      <c r="D464" s="135" t="s">
        <v>100</v>
      </c>
      <c r="E464" s="133" t="s">
        <v>440</v>
      </c>
      <c r="F464" s="134">
        <f>SUM(G467:G474)</f>
        <v>68.67825000000002</v>
      </c>
      <c r="G464" s="227"/>
      <c r="H464" s="255"/>
      <c r="I464" s="255"/>
      <c r="J464" s="156"/>
      <c r="K464" s="143"/>
    </row>
    <row r="465" spans="2:11" ht="13.5" thickBot="1" x14ac:dyDescent="0.25">
      <c r="B465" s="338" t="s">
        <v>294</v>
      </c>
      <c r="C465" s="339"/>
      <c r="D465" s="339"/>
      <c r="E465" s="339"/>
      <c r="F465" s="339"/>
      <c r="G465" s="339"/>
      <c r="H465" s="339"/>
      <c r="I465" s="340"/>
      <c r="J465" s="156"/>
      <c r="K465" s="143"/>
    </row>
    <row r="466" spans="2:11" ht="13.5" thickBot="1" x14ac:dyDescent="0.25">
      <c r="B466" s="148" t="s">
        <v>234</v>
      </c>
      <c r="C466" s="148" t="s">
        <v>243</v>
      </c>
      <c r="D466" s="148" t="s">
        <v>255</v>
      </c>
      <c r="E466" s="148" t="s">
        <v>245</v>
      </c>
      <c r="F466" s="148" t="s">
        <v>244</v>
      </c>
      <c r="G466" s="148" t="s">
        <v>246</v>
      </c>
      <c r="H466" s="346" t="s">
        <v>235</v>
      </c>
      <c r="I466" s="346"/>
      <c r="J466" s="156"/>
      <c r="K466" s="143"/>
    </row>
    <row r="467" spans="2:11" ht="13.5" thickBot="1" x14ac:dyDescent="0.25">
      <c r="B467" s="167">
        <v>36</v>
      </c>
      <c r="C467" s="163" t="s">
        <v>198</v>
      </c>
      <c r="D467" s="163">
        <v>1.7</v>
      </c>
      <c r="E467" s="163">
        <v>0.39500000000000002</v>
      </c>
      <c r="F467" s="163">
        <f>D467*B467</f>
        <v>61.199999999999996</v>
      </c>
      <c r="G467" s="162">
        <f>F467*E467</f>
        <v>24.173999999999999</v>
      </c>
      <c r="H467" s="330" t="s">
        <v>295</v>
      </c>
      <c r="I467" s="332"/>
      <c r="J467" s="156"/>
      <c r="K467" s="143"/>
    </row>
    <row r="468" spans="2:11" ht="13.5" thickBot="1" x14ac:dyDescent="0.25">
      <c r="B468" s="167">
        <v>6</v>
      </c>
      <c r="C468" s="163" t="s">
        <v>248</v>
      </c>
      <c r="D468" s="163">
        <v>3.6</v>
      </c>
      <c r="E468" s="163">
        <v>0.245</v>
      </c>
      <c r="F468" s="163">
        <f t="shared" ref="F468:F474" si="29">D468*B468</f>
        <v>21.6</v>
      </c>
      <c r="G468" s="162">
        <f t="shared" ref="G468:G474" si="30">F468*E468</f>
        <v>5.2919999999999998</v>
      </c>
      <c r="H468" s="342"/>
      <c r="I468" s="344"/>
      <c r="J468" s="156"/>
      <c r="K468" s="143"/>
    </row>
    <row r="469" spans="2:11" ht="13.5" thickBot="1" x14ac:dyDescent="0.25">
      <c r="B469" s="167">
        <v>6</v>
      </c>
      <c r="C469" s="163" t="s">
        <v>248</v>
      </c>
      <c r="D469" s="163">
        <v>3</v>
      </c>
      <c r="E469" s="163">
        <v>0.245</v>
      </c>
      <c r="F469" s="163">
        <f t="shared" si="29"/>
        <v>18</v>
      </c>
      <c r="G469" s="162">
        <f t="shared" si="30"/>
        <v>4.41</v>
      </c>
      <c r="H469" s="342"/>
      <c r="I469" s="344"/>
      <c r="J469" s="156"/>
      <c r="K469" s="143"/>
    </row>
    <row r="470" spans="2:11" ht="13.5" thickBot="1" x14ac:dyDescent="0.25">
      <c r="B470" s="167">
        <v>24</v>
      </c>
      <c r="C470" s="163" t="s">
        <v>248</v>
      </c>
      <c r="D470" s="163">
        <v>1</v>
      </c>
      <c r="E470" s="163">
        <v>0.245</v>
      </c>
      <c r="F470" s="163">
        <f t="shared" si="29"/>
        <v>24</v>
      </c>
      <c r="G470" s="162">
        <f t="shared" si="30"/>
        <v>5.88</v>
      </c>
      <c r="H470" s="333"/>
      <c r="I470" s="335"/>
      <c r="J470" s="156"/>
      <c r="K470" s="143"/>
    </row>
    <row r="471" spans="2:11" ht="13.5" thickBot="1" x14ac:dyDescent="0.25">
      <c r="B471" s="167">
        <v>50</v>
      </c>
      <c r="C471" s="163" t="s">
        <v>248</v>
      </c>
      <c r="D471" s="163">
        <v>1.1000000000000001</v>
      </c>
      <c r="E471" s="163">
        <v>0.245</v>
      </c>
      <c r="F471" s="163">
        <f t="shared" si="29"/>
        <v>55.000000000000007</v>
      </c>
      <c r="G471" s="162">
        <f t="shared" si="30"/>
        <v>13.475000000000001</v>
      </c>
      <c r="H471" s="330" t="s">
        <v>296</v>
      </c>
      <c r="I471" s="332"/>
      <c r="J471" s="156"/>
      <c r="K471" s="143"/>
    </row>
    <row r="472" spans="2:11" ht="13.5" thickBot="1" x14ac:dyDescent="0.25">
      <c r="B472" s="167">
        <v>4</v>
      </c>
      <c r="C472" s="163" t="s">
        <v>248</v>
      </c>
      <c r="D472" s="163">
        <v>5.2</v>
      </c>
      <c r="E472" s="163">
        <v>0.245</v>
      </c>
      <c r="F472" s="163">
        <f t="shared" si="29"/>
        <v>20.8</v>
      </c>
      <c r="G472" s="162">
        <f t="shared" si="30"/>
        <v>5.0960000000000001</v>
      </c>
      <c r="H472" s="342"/>
      <c r="I472" s="344"/>
      <c r="J472" s="156"/>
      <c r="K472" s="143"/>
    </row>
    <row r="473" spans="2:11" ht="13.5" thickBot="1" x14ac:dyDescent="0.25">
      <c r="B473" s="167">
        <v>4</v>
      </c>
      <c r="C473" s="163" t="s">
        <v>248</v>
      </c>
      <c r="D473" s="163">
        <v>5.2</v>
      </c>
      <c r="E473" s="163">
        <v>0.245</v>
      </c>
      <c r="F473" s="163">
        <f t="shared" si="29"/>
        <v>20.8</v>
      </c>
      <c r="G473" s="162">
        <f t="shared" si="30"/>
        <v>5.0960000000000001</v>
      </c>
      <c r="H473" s="342"/>
      <c r="I473" s="344"/>
      <c r="J473" s="156"/>
      <c r="K473" s="143"/>
    </row>
    <row r="474" spans="2:11" ht="13.5" thickBot="1" x14ac:dyDescent="0.25">
      <c r="B474" s="167">
        <v>33</v>
      </c>
      <c r="C474" s="163" t="s">
        <v>248</v>
      </c>
      <c r="D474" s="163">
        <v>0.65</v>
      </c>
      <c r="E474" s="163">
        <v>0.245</v>
      </c>
      <c r="F474" s="163">
        <f t="shared" si="29"/>
        <v>21.45</v>
      </c>
      <c r="G474" s="162">
        <f t="shared" si="30"/>
        <v>5.2552499999999993</v>
      </c>
      <c r="H474" s="333"/>
      <c r="I474" s="335"/>
      <c r="J474" s="156"/>
      <c r="K474" s="143"/>
    </row>
    <row r="475" spans="2:11" ht="15.75" thickBot="1" x14ac:dyDescent="0.25">
      <c r="B475" s="225"/>
      <c r="C475" s="225"/>
      <c r="D475" s="226"/>
      <c r="E475" s="226"/>
      <c r="F475" s="227"/>
      <c r="G475" s="227"/>
      <c r="H475" s="255"/>
      <c r="I475" s="255"/>
      <c r="J475" s="156"/>
      <c r="K475" s="143"/>
    </row>
    <row r="476" spans="2:11" ht="13.5" thickBot="1" x14ac:dyDescent="0.25">
      <c r="B476" s="345" t="s">
        <v>0</v>
      </c>
      <c r="C476" s="345" t="s">
        <v>9</v>
      </c>
      <c r="D476" s="345" t="s">
        <v>1</v>
      </c>
      <c r="E476" s="345" t="s">
        <v>189</v>
      </c>
      <c r="F476" s="347" t="s">
        <v>8</v>
      </c>
      <c r="G476" s="348"/>
      <c r="H476" s="143"/>
      <c r="I476" s="143"/>
      <c r="J476" s="156"/>
      <c r="K476" s="143"/>
    </row>
    <row r="477" spans="2:11" ht="13.5" thickBot="1" x14ac:dyDescent="0.25">
      <c r="B477" s="345"/>
      <c r="C477" s="345"/>
      <c r="D477" s="345"/>
      <c r="E477" s="345"/>
      <c r="F477" s="347"/>
      <c r="G477" s="348"/>
      <c r="H477" s="143"/>
      <c r="I477" s="143"/>
      <c r="J477" s="156"/>
      <c r="K477" s="143"/>
    </row>
    <row r="478" spans="2:11" ht="42" customHeight="1" thickBot="1" x14ac:dyDescent="0.25">
      <c r="B478" s="140" t="s">
        <v>105</v>
      </c>
      <c r="C478" s="140">
        <v>92769</v>
      </c>
      <c r="D478" s="135" t="s">
        <v>592</v>
      </c>
      <c r="E478" s="133" t="s">
        <v>440</v>
      </c>
      <c r="F478" s="336">
        <f>G480</f>
        <v>44.504250000000006</v>
      </c>
      <c r="G478" s="337"/>
      <c r="H478" s="143"/>
      <c r="I478" s="143"/>
      <c r="J478" s="156"/>
      <c r="K478" s="143"/>
    </row>
    <row r="479" spans="2:11" ht="13.5" thickBot="1" x14ac:dyDescent="0.25">
      <c r="B479" s="254" t="s">
        <v>234</v>
      </c>
      <c r="C479" s="254" t="s">
        <v>243</v>
      </c>
      <c r="D479" s="254" t="s">
        <v>255</v>
      </c>
      <c r="E479" s="254" t="s">
        <v>245</v>
      </c>
      <c r="F479" s="254" t="s">
        <v>317</v>
      </c>
      <c r="G479" s="254" t="s">
        <v>316</v>
      </c>
      <c r="H479" s="349" t="s">
        <v>235</v>
      </c>
      <c r="I479" s="350"/>
      <c r="J479" s="156"/>
      <c r="K479" s="143"/>
    </row>
    <row r="480" spans="2:11" ht="13.5" thickBot="1" x14ac:dyDescent="0.25">
      <c r="B480" s="163"/>
      <c r="C480" s="163"/>
      <c r="D480" s="163"/>
      <c r="E480" s="179"/>
      <c r="F480" s="163"/>
      <c r="G480" s="189">
        <f>G468+G469+G470+G471+G472+G473+G474</f>
        <v>44.504250000000006</v>
      </c>
      <c r="H480" s="328"/>
      <c r="I480" s="329"/>
      <c r="J480" s="156"/>
      <c r="K480" s="143"/>
    </row>
    <row r="481" spans="2:11" ht="13.5" thickBot="1" x14ac:dyDescent="0.25">
      <c r="G481" s="156"/>
      <c r="I481" s="156"/>
      <c r="J481" s="156"/>
      <c r="K481" s="143"/>
    </row>
    <row r="482" spans="2:11" ht="13.5" thickBot="1" x14ac:dyDescent="0.25">
      <c r="B482" s="345" t="s">
        <v>0</v>
      </c>
      <c r="C482" s="345" t="s">
        <v>9</v>
      </c>
      <c r="D482" s="345" t="s">
        <v>1</v>
      </c>
      <c r="E482" s="345" t="s">
        <v>189</v>
      </c>
      <c r="F482" s="347" t="s">
        <v>8</v>
      </c>
      <c r="G482" s="348"/>
      <c r="H482" s="143"/>
      <c r="I482" s="143"/>
      <c r="J482" s="156"/>
      <c r="K482" s="143"/>
    </row>
    <row r="483" spans="2:11" ht="13.5" thickBot="1" x14ac:dyDescent="0.25">
      <c r="B483" s="345"/>
      <c r="C483" s="345"/>
      <c r="D483" s="345"/>
      <c r="E483" s="345"/>
      <c r="F483" s="347"/>
      <c r="G483" s="348"/>
      <c r="H483" s="143"/>
      <c r="I483" s="143"/>
      <c r="J483" s="156"/>
      <c r="K483" s="143"/>
    </row>
    <row r="484" spans="2:11" ht="41.25" customHeight="1" thickBot="1" x14ac:dyDescent="0.25">
      <c r="B484" s="140" t="s">
        <v>106</v>
      </c>
      <c r="C484" s="140">
        <v>92770</v>
      </c>
      <c r="D484" s="135" t="s">
        <v>593</v>
      </c>
      <c r="E484" s="133" t="s">
        <v>440</v>
      </c>
      <c r="F484" s="336">
        <f>G486</f>
        <v>24.173999999999999</v>
      </c>
      <c r="G484" s="337"/>
      <c r="H484" s="143"/>
      <c r="I484" s="143"/>
      <c r="J484" s="156"/>
      <c r="K484" s="143"/>
    </row>
    <row r="485" spans="2:11" ht="13.5" thickBot="1" x14ac:dyDescent="0.25">
      <c r="B485" s="254" t="s">
        <v>234</v>
      </c>
      <c r="C485" s="254" t="s">
        <v>243</v>
      </c>
      <c r="D485" s="254" t="s">
        <v>255</v>
      </c>
      <c r="E485" s="254" t="s">
        <v>245</v>
      </c>
      <c r="F485" s="254" t="s">
        <v>317</v>
      </c>
      <c r="G485" s="254" t="s">
        <v>316</v>
      </c>
      <c r="H485" s="349" t="s">
        <v>235</v>
      </c>
      <c r="I485" s="350"/>
      <c r="J485" s="156"/>
      <c r="K485" s="143"/>
    </row>
    <row r="486" spans="2:11" ht="13.5" thickBot="1" x14ac:dyDescent="0.25">
      <c r="B486" s="163"/>
      <c r="C486" s="163"/>
      <c r="D486" s="163"/>
      <c r="E486" s="179"/>
      <c r="F486" s="163"/>
      <c r="G486" s="189">
        <f>G467</f>
        <v>24.173999999999999</v>
      </c>
      <c r="H486" s="328"/>
      <c r="I486" s="329"/>
      <c r="J486" s="156"/>
      <c r="K486" s="143"/>
    </row>
    <row r="487" spans="2:11" ht="15.75" thickBot="1" x14ac:dyDescent="0.25">
      <c r="B487" s="225"/>
      <c r="C487" s="225"/>
      <c r="D487" s="226"/>
      <c r="E487" s="226"/>
      <c r="F487" s="227"/>
      <c r="G487" s="227"/>
      <c r="H487" s="255"/>
      <c r="I487" s="255"/>
      <c r="J487" s="156"/>
      <c r="K487" s="143"/>
    </row>
    <row r="488" spans="2:11" ht="13.5" thickBot="1" x14ac:dyDescent="0.25">
      <c r="B488" s="345" t="s">
        <v>0</v>
      </c>
      <c r="C488" s="345" t="s">
        <v>9</v>
      </c>
      <c r="D488" s="345" t="s">
        <v>1</v>
      </c>
      <c r="E488" s="345" t="s">
        <v>189</v>
      </c>
      <c r="F488" s="345" t="s">
        <v>8</v>
      </c>
      <c r="G488" s="143"/>
      <c r="H488" s="143"/>
      <c r="I488" s="143"/>
    </row>
    <row r="489" spans="2:11" ht="13.5" thickBot="1" x14ac:dyDescent="0.25">
      <c r="B489" s="345"/>
      <c r="C489" s="345"/>
      <c r="D489" s="345"/>
      <c r="E489" s="345"/>
      <c r="F489" s="345"/>
      <c r="G489" s="143"/>
      <c r="H489" s="143"/>
      <c r="I489" s="143"/>
    </row>
    <row r="490" spans="2:11" ht="36.75" thickBot="1" x14ac:dyDescent="0.25">
      <c r="B490" s="140" t="s">
        <v>473</v>
      </c>
      <c r="C490" s="140" t="s">
        <v>602</v>
      </c>
      <c r="D490" s="135" t="s">
        <v>601</v>
      </c>
      <c r="E490" s="133" t="s">
        <v>58</v>
      </c>
      <c r="F490" s="134">
        <f>SUM(F493:F500)+SUM(F503:F510)+SUM(F513:F514)+SUM(F517:F524)</f>
        <v>2.8890000000000002</v>
      </c>
      <c r="G490" s="143"/>
      <c r="H490" s="143"/>
      <c r="I490" s="143"/>
    </row>
    <row r="491" spans="2:11" ht="13.5" thickBot="1" x14ac:dyDescent="0.25">
      <c r="B491" s="338" t="s">
        <v>304</v>
      </c>
      <c r="C491" s="339"/>
      <c r="D491" s="339"/>
      <c r="E491" s="339"/>
      <c r="F491" s="339"/>
      <c r="G491" s="339"/>
      <c r="H491" s="339"/>
      <c r="I491" s="340"/>
    </row>
    <row r="492" spans="2:11" ht="13.5" customHeight="1" thickBot="1" x14ac:dyDescent="0.25">
      <c r="B492" s="132" t="s">
        <v>234</v>
      </c>
      <c r="C492" s="136" t="s">
        <v>314</v>
      </c>
      <c r="D492" s="136" t="s">
        <v>255</v>
      </c>
      <c r="E492" s="136" t="s">
        <v>315</v>
      </c>
      <c r="F492" s="148" t="s">
        <v>356</v>
      </c>
      <c r="G492" s="375" t="s">
        <v>235</v>
      </c>
      <c r="H492" s="376"/>
      <c r="I492" s="377"/>
    </row>
    <row r="493" spans="2:11" ht="13.5" thickBot="1" x14ac:dyDescent="0.25">
      <c r="B493" s="144">
        <v>1</v>
      </c>
      <c r="C493" s="163">
        <v>0.6</v>
      </c>
      <c r="D493" s="162">
        <v>0.3</v>
      </c>
      <c r="E493" s="162">
        <v>0.15</v>
      </c>
      <c r="F493" s="162">
        <f>B493*C493*D493*E493</f>
        <v>2.7E-2</v>
      </c>
      <c r="G493" s="341" t="s">
        <v>285</v>
      </c>
      <c r="H493" s="341"/>
      <c r="I493" s="341"/>
    </row>
    <row r="494" spans="2:11" ht="13.5" thickBot="1" x14ac:dyDescent="0.25">
      <c r="B494" s="144">
        <v>1</v>
      </c>
      <c r="C494" s="163">
        <v>0.6</v>
      </c>
      <c r="D494" s="162">
        <v>0.3</v>
      </c>
      <c r="E494" s="162">
        <v>0.15</v>
      </c>
      <c r="F494" s="162">
        <f t="shared" ref="F494:F500" si="31">B494*C494*D494*E494</f>
        <v>2.7E-2</v>
      </c>
      <c r="G494" s="341" t="s">
        <v>286</v>
      </c>
      <c r="H494" s="341"/>
      <c r="I494" s="341"/>
    </row>
    <row r="495" spans="2:11" ht="13.5" thickBot="1" x14ac:dyDescent="0.25">
      <c r="B495" s="144">
        <v>1</v>
      </c>
      <c r="C495" s="163">
        <v>0.6</v>
      </c>
      <c r="D495" s="162">
        <v>0.3</v>
      </c>
      <c r="E495" s="162">
        <v>0.15</v>
      </c>
      <c r="F495" s="162">
        <f t="shared" si="31"/>
        <v>2.7E-2</v>
      </c>
      <c r="G495" s="341" t="s">
        <v>287</v>
      </c>
      <c r="H495" s="341"/>
      <c r="I495" s="341"/>
    </row>
    <row r="496" spans="2:11" ht="13.5" thickBot="1" x14ac:dyDescent="0.25">
      <c r="B496" s="144">
        <v>1</v>
      </c>
      <c r="C496" s="163">
        <v>0.6</v>
      </c>
      <c r="D496" s="162">
        <v>0.3</v>
      </c>
      <c r="E496" s="162">
        <v>0.15</v>
      </c>
      <c r="F496" s="162">
        <f t="shared" si="31"/>
        <v>2.7E-2</v>
      </c>
      <c r="G496" s="341" t="s">
        <v>288</v>
      </c>
      <c r="H496" s="341"/>
      <c r="I496" s="341"/>
    </row>
    <row r="497" spans="2:9" ht="13.5" thickBot="1" x14ac:dyDescent="0.25">
      <c r="B497" s="144">
        <v>1</v>
      </c>
      <c r="C497" s="163">
        <v>0.6</v>
      </c>
      <c r="D497" s="162">
        <v>0.3</v>
      </c>
      <c r="E497" s="162">
        <v>0.15</v>
      </c>
      <c r="F497" s="162">
        <f t="shared" si="31"/>
        <v>2.7E-2</v>
      </c>
      <c r="G497" s="341" t="s">
        <v>289</v>
      </c>
      <c r="H497" s="341"/>
      <c r="I497" s="341"/>
    </row>
    <row r="498" spans="2:9" ht="13.5" thickBot="1" x14ac:dyDescent="0.25">
      <c r="B498" s="144">
        <v>1</v>
      </c>
      <c r="C498" s="163">
        <v>0.6</v>
      </c>
      <c r="D498" s="162">
        <v>0.3</v>
      </c>
      <c r="E498" s="162">
        <v>0.15</v>
      </c>
      <c r="F498" s="162">
        <f t="shared" si="31"/>
        <v>2.7E-2</v>
      </c>
      <c r="G498" s="341" t="s">
        <v>290</v>
      </c>
      <c r="H498" s="341"/>
      <c r="I498" s="341"/>
    </row>
    <row r="499" spans="2:9" ht="13.5" thickBot="1" x14ac:dyDescent="0.25">
      <c r="B499" s="144">
        <v>1</v>
      </c>
      <c r="C499" s="163">
        <v>0.6</v>
      </c>
      <c r="D499" s="162">
        <v>0.3</v>
      </c>
      <c r="E499" s="162">
        <v>0.15</v>
      </c>
      <c r="F499" s="162">
        <f t="shared" si="31"/>
        <v>2.7E-2</v>
      </c>
      <c r="G499" s="341" t="s">
        <v>291</v>
      </c>
      <c r="H499" s="341"/>
      <c r="I499" s="341"/>
    </row>
    <row r="500" spans="2:9" ht="13.5" thickBot="1" x14ac:dyDescent="0.25">
      <c r="B500" s="144">
        <v>1</v>
      </c>
      <c r="C500" s="163">
        <v>0.6</v>
      </c>
      <c r="D500" s="162">
        <v>0.3</v>
      </c>
      <c r="E500" s="162">
        <v>0.15</v>
      </c>
      <c r="F500" s="162">
        <f t="shared" si="31"/>
        <v>2.7E-2</v>
      </c>
      <c r="G500" s="341" t="s">
        <v>292</v>
      </c>
      <c r="H500" s="341"/>
      <c r="I500" s="341"/>
    </row>
    <row r="501" spans="2:9" ht="13.5" thickBot="1" x14ac:dyDescent="0.25">
      <c r="B501" s="338" t="s">
        <v>305</v>
      </c>
      <c r="C501" s="339"/>
      <c r="D501" s="339"/>
      <c r="E501" s="339"/>
      <c r="F501" s="339"/>
      <c r="G501" s="339"/>
      <c r="H501" s="339"/>
      <c r="I501" s="340"/>
    </row>
    <row r="502" spans="2:9" ht="24.75" thickBot="1" x14ac:dyDescent="0.25">
      <c r="B502" s="148" t="s">
        <v>234</v>
      </c>
      <c r="C502" s="148" t="s">
        <v>314</v>
      </c>
      <c r="D502" s="148" t="s">
        <v>255</v>
      </c>
      <c r="E502" s="148" t="s">
        <v>315</v>
      </c>
      <c r="F502" s="148" t="s">
        <v>356</v>
      </c>
      <c r="G502" s="349" t="s">
        <v>235</v>
      </c>
      <c r="H502" s="351"/>
      <c r="I502" s="350"/>
    </row>
    <row r="503" spans="2:9" ht="13.5" thickBot="1" x14ac:dyDescent="0.25">
      <c r="B503" s="144">
        <v>1</v>
      </c>
      <c r="C503" s="167">
        <v>2.4</v>
      </c>
      <c r="D503" s="162">
        <v>0.3</v>
      </c>
      <c r="E503" s="162">
        <v>0.15</v>
      </c>
      <c r="F503" s="162">
        <f>B503*C503*D503*E503</f>
        <v>0.108</v>
      </c>
      <c r="G503" s="341" t="s">
        <v>285</v>
      </c>
      <c r="H503" s="341"/>
      <c r="I503" s="341"/>
    </row>
    <row r="504" spans="2:9" ht="13.5" thickBot="1" x14ac:dyDescent="0.25">
      <c r="B504" s="144">
        <v>1</v>
      </c>
      <c r="C504" s="167">
        <v>2.4</v>
      </c>
      <c r="D504" s="162">
        <v>0.3</v>
      </c>
      <c r="E504" s="162">
        <v>0.15</v>
      </c>
      <c r="F504" s="162">
        <f t="shared" ref="F504:F510" si="32">B504*C504*D504*E504</f>
        <v>0.108</v>
      </c>
      <c r="G504" s="341" t="s">
        <v>286</v>
      </c>
      <c r="H504" s="341"/>
      <c r="I504" s="341"/>
    </row>
    <row r="505" spans="2:9" ht="13.5" thickBot="1" x14ac:dyDescent="0.25">
      <c r="B505" s="144">
        <v>1</v>
      </c>
      <c r="C505" s="167">
        <v>2.4</v>
      </c>
      <c r="D505" s="162">
        <v>0.3</v>
      </c>
      <c r="E505" s="162">
        <v>0.15</v>
      </c>
      <c r="F505" s="162">
        <f t="shared" si="32"/>
        <v>0.108</v>
      </c>
      <c r="G505" s="341" t="s">
        <v>287</v>
      </c>
      <c r="H505" s="341"/>
      <c r="I505" s="341"/>
    </row>
    <row r="506" spans="2:9" ht="13.5" thickBot="1" x14ac:dyDescent="0.25">
      <c r="B506" s="144">
        <v>1</v>
      </c>
      <c r="C506" s="167">
        <v>2.4</v>
      </c>
      <c r="D506" s="162">
        <v>0.3</v>
      </c>
      <c r="E506" s="162">
        <v>0.15</v>
      </c>
      <c r="F506" s="162">
        <f t="shared" si="32"/>
        <v>0.108</v>
      </c>
      <c r="G506" s="341" t="s">
        <v>288</v>
      </c>
      <c r="H506" s="341"/>
      <c r="I506" s="341"/>
    </row>
    <row r="507" spans="2:9" ht="13.5" thickBot="1" x14ac:dyDescent="0.25">
      <c r="B507" s="144">
        <v>1</v>
      </c>
      <c r="C507" s="167">
        <v>2.4</v>
      </c>
      <c r="D507" s="162">
        <v>0.3</v>
      </c>
      <c r="E507" s="162">
        <v>0.15</v>
      </c>
      <c r="F507" s="162">
        <f t="shared" si="32"/>
        <v>0.108</v>
      </c>
      <c r="G507" s="341" t="s">
        <v>289</v>
      </c>
      <c r="H507" s="341"/>
      <c r="I507" s="341"/>
    </row>
    <row r="508" spans="2:9" ht="13.5" thickBot="1" x14ac:dyDescent="0.25">
      <c r="B508" s="144">
        <v>1</v>
      </c>
      <c r="C508" s="167">
        <v>2.4</v>
      </c>
      <c r="D508" s="162">
        <v>0.3</v>
      </c>
      <c r="E508" s="162">
        <v>0.15</v>
      </c>
      <c r="F508" s="162">
        <f t="shared" si="32"/>
        <v>0.108</v>
      </c>
      <c r="G508" s="341" t="s">
        <v>290</v>
      </c>
      <c r="H508" s="341"/>
      <c r="I508" s="341"/>
    </row>
    <row r="509" spans="2:9" ht="13.5" thickBot="1" x14ac:dyDescent="0.25">
      <c r="B509" s="144">
        <v>1</v>
      </c>
      <c r="C509" s="167">
        <v>2.4</v>
      </c>
      <c r="D509" s="162">
        <v>0.3</v>
      </c>
      <c r="E509" s="162">
        <v>0.15</v>
      </c>
      <c r="F509" s="162">
        <f t="shared" si="32"/>
        <v>0.108</v>
      </c>
      <c r="G509" s="341" t="s">
        <v>291</v>
      </c>
      <c r="H509" s="341"/>
      <c r="I509" s="341"/>
    </row>
    <row r="510" spans="2:9" ht="13.5" thickBot="1" x14ac:dyDescent="0.25">
      <c r="B510" s="144">
        <v>1</v>
      </c>
      <c r="C510" s="167">
        <v>2.4</v>
      </c>
      <c r="D510" s="162">
        <v>0.3</v>
      </c>
      <c r="E510" s="162">
        <v>0.15</v>
      </c>
      <c r="F510" s="162">
        <f t="shared" si="32"/>
        <v>0.108</v>
      </c>
      <c r="G510" s="341" t="s">
        <v>292</v>
      </c>
      <c r="H510" s="341"/>
      <c r="I510" s="341"/>
    </row>
    <row r="511" spans="2:9" ht="13.5" thickBot="1" x14ac:dyDescent="0.25">
      <c r="B511" s="338" t="s">
        <v>294</v>
      </c>
      <c r="C511" s="339"/>
      <c r="D511" s="339"/>
      <c r="E511" s="339"/>
      <c r="F511" s="339"/>
      <c r="G511" s="339"/>
      <c r="H511" s="339"/>
      <c r="I511" s="340"/>
    </row>
    <row r="512" spans="2:9" ht="24.75" thickBot="1" x14ac:dyDescent="0.25">
      <c r="B512" s="148" t="s">
        <v>234</v>
      </c>
      <c r="C512" s="148" t="s">
        <v>297</v>
      </c>
      <c r="D512" s="148" t="s">
        <v>298</v>
      </c>
      <c r="E512" s="148" t="s">
        <v>299</v>
      </c>
      <c r="F512" s="148" t="s">
        <v>356</v>
      </c>
      <c r="G512" s="349" t="s">
        <v>235</v>
      </c>
      <c r="H512" s="351"/>
      <c r="I512" s="350"/>
    </row>
    <row r="513" spans="2:11" ht="13.5" thickBot="1" x14ac:dyDescent="0.25">
      <c r="B513" s="158">
        <v>1</v>
      </c>
      <c r="C513" s="163">
        <v>2.79</v>
      </c>
      <c r="D513" s="163"/>
      <c r="E513" s="162">
        <v>0.15</v>
      </c>
      <c r="F513" s="163">
        <f>C513*E513</f>
        <v>0.41849999999999998</v>
      </c>
      <c r="G513" s="341" t="s">
        <v>295</v>
      </c>
      <c r="H513" s="341"/>
      <c r="I513" s="341"/>
    </row>
    <row r="514" spans="2:11" ht="13.5" thickBot="1" x14ac:dyDescent="0.25">
      <c r="B514" s="158">
        <v>1</v>
      </c>
      <c r="C514" s="163">
        <v>1.61</v>
      </c>
      <c r="D514" s="163"/>
      <c r="E514" s="162">
        <v>0.15</v>
      </c>
      <c r="F514" s="163">
        <f>C514*E514</f>
        <v>0.24149999999999999</v>
      </c>
      <c r="G514" s="361" t="s">
        <v>296</v>
      </c>
      <c r="H514" s="362"/>
      <c r="I514" s="363"/>
    </row>
    <row r="515" spans="2:11" ht="13.5" thickBot="1" x14ac:dyDescent="0.25">
      <c r="B515" s="338" t="s">
        <v>358</v>
      </c>
      <c r="C515" s="339"/>
      <c r="D515" s="339"/>
      <c r="E515" s="339"/>
      <c r="F515" s="339"/>
      <c r="G515" s="339"/>
      <c r="H515" s="339"/>
      <c r="I515" s="340"/>
    </row>
    <row r="516" spans="2:11" ht="24.75" thickBot="1" x14ac:dyDescent="0.25">
      <c r="B516" s="148" t="s">
        <v>234</v>
      </c>
      <c r="C516" s="148" t="s">
        <v>314</v>
      </c>
      <c r="D516" s="148" t="s">
        <v>255</v>
      </c>
      <c r="E516" s="148" t="s">
        <v>315</v>
      </c>
      <c r="F516" s="148" t="s">
        <v>356</v>
      </c>
      <c r="G516" s="349" t="s">
        <v>235</v>
      </c>
      <c r="H516" s="351"/>
      <c r="I516" s="350"/>
    </row>
    <row r="517" spans="2:11" ht="13.5" thickBot="1" x14ac:dyDescent="0.25">
      <c r="B517" s="158">
        <v>1</v>
      </c>
      <c r="C517" s="162">
        <v>0.4</v>
      </c>
      <c r="D517" s="163">
        <v>3.6</v>
      </c>
      <c r="E517" s="162">
        <v>0.15</v>
      </c>
      <c r="F517" s="179">
        <f>B517*C517*D517*E517</f>
        <v>0.21600000000000003</v>
      </c>
      <c r="G517" s="346" t="s">
        <v>333</v>
      </c>
      <c r="H517" s="346"/>
      <c r="I517" s="346"/>
    </row>
    <row r="518" spans="2:11" ht="13.5" thickBot="1" x14ac:dyDescent="0.25">
      <c r="B518" s="158">
        <v>1</v>
      </c>
      <c r="C518" s="162">
        <v>0.4</v>
      </c>
      <c r="D518" s="163">
        <v>2</v>
      </c>
      <c r="E518" s="162">
        <v>0.15</v>
      </c>
      <c r="F518" s="179">
        <f t="shared" ref="F518:F524" si="33">B518*C518*D518*E518</f>
        <v>0.12</v>
      </c>
      <c r="G518" s="346" t="s">
        <v>334</v>
      </c>
      <c r="H518" s="346"/>
      <c r="I518" s="346"/>
    </row>
    <row r="519" spans="2:11" ht="13.5" thickBot="1" x14ac:dyDescent="0.25">
      <c r="B519" s="158">
        <v>1</v>
      </c>
      <c r="C519" s="162">
        <v>0.4</v>
      </c>
      <c r="D519" s="163">
        <v>0.95</v>
      </c>
      <c r="E519" s="162">
        <v>0.15</v>
      </c>
      <c r="F519" s="179">
        <f t="shared" si="33"/>
        <v>5.6999999999999995E-2</v>
      </c>
      <c r="G519" s="330" t="s">
        <v>340</v>
      </c>
      <c r="H519" s="331"/>
      <c r="I519" s="332"/>
    </row>
    <row r="520" spans="2:11" ht="13.5" thickBot="1" x14ac:dyDescent="0.25">
      <c r="B520" s="158">
        <v>1</v>
      </c>
      <c r="C520" s="162">
        <v>0.4</v>
      </c>
      <c r="D520" s="163">
        <v>2</v>
      </c>
      <c r="E520" s="162">
        <v>0.15</v>
      </c>
      <c r="F520" s="179">
        <f t="shared" si="33"/>
        <v>0.12</v>
      </c>
      <c r="G520" s="342"/>
      <c r="H520" s="343"/>
      <c r="I520" s="344"/>
    </row>
    <row r="521" spans="2:11" ht="13.5" thickBot="1" x14ac:dyDescent="0.25">
      <c r="B521" s="158">
        <v>1</v>
      </c>
      <c r="C521" s="162">
        <v>0.4</v>
      </c>
      <c r="D521" s="163">
        <v>5.65</v>
      </c>
      <c r="E521" s="162">
        <v>0.15</v>
      </c>
      <c r="F521" s="179">
        <f t="shared" si="33"/>
        <v>0.33900000000000002</v>
      </c>
      <c r="G521" s="342"/>
      <c r="H521" s="343"/>
      <c r="I521" s="344"/>
    </row>
    <row r="522" spans="2:11" ht="13.5" thickBot="1" x14ac:dyDescent="0.25">
      <c r="B522" s="158">
        <v>1</v>
      </c>
      <c r="C522" s="162">
        <v>0.4</v>
      </c>
      <c r="D522" s="163">
        <v>2</v>
      </c>
      <c r="E522" s="162">
        <v>0.15</v>
      </c>
      <c r="F522" s="179">
        <f t="shared" si="33"/>
        <v>0.12</v>
      </c>
      <c r="G522" s="342"/>
      <c r="H522" s="343"/>
      <c r="I522" s="344"/>
    </row>
    <row r="523" spans="2:11" ht="13.5" thickBot="1" x14ac:dyDescent="0.25">
      <c r="B523" s="158">
        <v>1</v>
      </c>
      <c r="C523" s="162">
        <v>0.4</v>
      </c>
      <c r="D523" s="163">
        <v>0.95</v>
      </c>
      <c r="E523" s="162">
        <v>0.15</v>
      </c>
      <c r="F523" s="179">
        <f t="shared" si="33"/>
        <v>5.6999999999999995E-2</v>
      </c>
      <c r="G523" s="333"/>
      <c r="H523" s="334"/>
      <c r="I523" s="335"/>
    </row>
    <row r="524" spans="2:11" ht="13.5" thickBot="1" x14ac:dyDescent="0.25">
      <c r="B524" s="158">
        <v>1</v>
      </c>
      <c r="C524" s="162">
        <v>0.4</v>
      </c>
      <c r="D524" s="163">
        <v>2</v>
      </c>
      <c r="E524" s="162">
        <v>0.15</v>
      </c>
      <c r="F524" s="179">
        <f t="shared" si="33"/>
        <v>0.12</v>
      </c>
      <c r="G524" s="346" t="s">
        <v>341</v>
      </c>
      <c r="H524" s="346"/>
      <c r="I524" s="346"/>
      <c r="J524" s="166">
        <f>SUM(F517:F524)</f>
        <v>1.149</v>
      </c>
      <c r="K524" s="143" t="s">
        <v>357</v>
      </c>
    </row>
    <row r="525" spans="2:11" ht="13.5" thickBot="1" x14ac:dyDescent="0.25">
      <c r="B525" s="146"/>
      <c r="C525" s="147"/>
      <c r="D525" s="147"/>
      <c r="E525" s="147"/>
      <c r="F525" s="147"/>
      <c r="G525" s="142"/>
      <c r="H525" s="142"/>
      <c r="I525" s="142"/>
    </row>
    <row r="526" spans="2:11" ht="13.5" thickBot="1" x14ac:dyDescent="0.25">
      <c r="B526" s="345" t="s">
        <v>0</v>
      </c>
      <c r="C526" s="345" t="s">
        <v>9</v>
      </c>
      <c r="D526" s="345" t="s">
        <v>1</v>
      </c>
      <c r="E526" s="345" t="s">
        <v>189</v>
      </c>
      <c r="F526" s="345" t="s">
        <v>8</v>
      </c>
      <c r="G526" s="143"/>
      <c r="H526" s="143"/>
      <c r="I526" s="143"/>
    </row>
    <row r="527" spans="2:11" ht="13.5" thickBot="1" x14ac:dyDescent="0.25">
      <c r="B527" s="345"/>
      <c r="C527" s="345"/>
      <c r="D527" s="345"/>
      <c r="E527" s="345"/>
      <c r="F527" s="345"/>
      <c r="G527" s="143"/>
      <c r="H527" s="143"/>
      <c r="I527" s="143"/>
    </row>
    <row r="528" spans="2:11" ht="48.75" thickBot="1" x14ac:dyDescent="0.25">
      <c r="B528" s="140" t="s">
        <v>474</v>
      </c>
      <c r="C528" s="211" t="s">
        <v>476</v>
      </c>
      <c r="D528" s="135" t="s">
        <v>619</v>
      </c>
      <c r="E528" s="133" t="s">
        <v>10</v>
      </c>
      <c r="F528" s="134">
        <f>SUM(F530:F532)</f>
        <v>23.82</v>
      </c>
      <c r="G528" s="143"/>
      <c r="H528" s="143"/>
      <c r="I528" s="143"/>
    </row>
    <row r="529" spans="2:11" ht="13.5" customHeight="1" thickBot="1" x14ac:dyDescent="0.25">
      <c r="B529" s="132" t="s">
        <v>234</v>
      </c>
      <c r="C529" s="136"/>
      <c r="D529" s="136" t="s">
        <v>255</v>
      </c>
      <c r="E529" s="136" t="s">
        <v>315</v>
      </c>
      <c r="F529" s="136" t="s">
        <v>300</v>
      </c>
      <c r="G529" s="375" t="s">
        <v>235</v>
      </c>
      <c r="H529" s="376"/>
      <c r="I529" s="377"/>
    </row>
    <row r="530" spans="2:11" ht="13.5" customHeight="1" thickBot="1" x14ac:dyDescent="0.25">
      <c r="B530" s="158">
        <v>1</v>
      </c>
      <c r="C530" s="162"/>
      <c r="D530" s="162">
        <v>2.6</v>
      </c>
      <c r="E530" s="162">
        <v>1.6</v>
      </c>
      <c r="F530" s="162">
        <f>D530*E530</f>
        <v>4.16</v>
      </c>
      <c r="G530" s="361" t="s">
        <v>295</v>
      </c>
      <c r="H530" s="362"/>
      <c r="I530" s="363"/>
    </row>
    <row r="531" spans="2:11" ht="13.5" customHeight="1" thickBot="1" x14ac:dyDescent="0.25">
      <c r="B531" s="158">
        <v>1</v>
      </c>
      <c r="C531" s="162"/>
      <c r="D531" s="162"/>
      <c r="E531" s="162"/>
      <c r="F531" s="162">
        <v>15.5</v>
      </c>
      <c r="G531" s="361" t="s">
        <v>296</v>
      </c>
      <c r="H531" s="362"/>
      <c r="I531" s="363"/>
    </row>
    <row r="532" spans="2:11" ht="13.5" customHeight="1" thickBot="1" x14ac:dyDescent="0.25">
      <c r="B532" s="158">
        <v>1</v>
      </c>
      <c r="C532" s="162"/>
      <c r="D532" s="162">
        <v>2.6</v>
      </c>
      <c r="E532" s="162">
        <v>1.6</v>
      </c>
      <c r="F532" s="162">
        <f>D532*E532</f>
        <v>4.16</v>
      </c>
      <c r="G532" s="361" t="s">
        <v>301</v>
      </c>
      <c r="H532" s="362"/>
      <c r="I532" s="363"/>
      <c r="K532" s="143" t="s">
        <v>357</v>
      </c>
    </row>
    <row r="533" spans="2:11" ht="13.5" thickBot="1" x14ac:dyDescent="0.25">
      <c r="G533" s="143"/>
      <c r="H533" s="143"/>
      <c r="I533" s="143"/>
    </row>
    <row r="534" spans="2:11" ht="13.5" thickBot="1" x14ac:dyDescent="0.25">
      <c r="B534" s="345" t="s">
        <v>0</v>
      </c>
      <c r="C534" s="345" t="s">
        <v>9</v>
      </c>
      <c r="D534" s="345" t="s">
        <v>1</v>
      </c>
      <c r="E534" s="345" t="s">
        <v>189</v>
      </c>
      <c r="F534" s="345" t="s">
        <v>8</v>
      </c>
      <c r="G534" s="143"/>
      <c r="H534" s="143"/>
      <c r="I534" s="143"/>
    </row>
    <row r="535" spans="2:11" ht="13.5" thickBot="1" x14ac:dyDescent="0.25">
      <c r="B535" s="345"/>
      <c r="C535" s="345"/>
      <c r="D535" s="345"/>
      <c r="E535" s="345"/>
      <c r="F535" s="345"/>
      <c r="G535" s="143"/>
      <c r="H535" s="143"/>
      <c r="I535" s="143"/>
    </row>
    <row r="536" spans="2:11" ht="13.5" thickBot="1" x14ac:dyDescent="0.25">
      <c r="B536" s="140" t="s">
        <v>475</v>
      </c>
      <c r="C536" s="260" t="s">
        <v>725</v>
      </c>
      <c r="D536" s="135" t="s">
        <v>726</v>
      </c>
      <c r="E536" s="133" t="s">
        <v>10</v>
      </c>
      <c r="F536" s="134">
        <f>SUM(F538:F540)</f>
        <v>136.04000000000002</v>
      </c>
      <c r="G536" s="143"/>
      <c r="H536" s="143"/>
      <c r="I536" s="143"/>
    </row>
    <row r="537" spans="2:11" ht="13.5" customHeight="1" thickBot="1" x14ac:dyDescent="0.25">
      <c r="B537" s="132" t="s">
        <v>234</v>
      </c>
      <c r="C537" s="136" t="s">
        <v>314</v>
      </c>
      <c r="D537" s="136" t="s">
        <v>255</v>
      </c>
      <c r="E537" s="136" t="s">
        <v>347</v>
      </c>
      <c r="F537" s="136" t="s">
        <v>300</v>
      </c>
      <c r="G537" s="375" t="s">
        <v>235</v>
      </c>
      <c r="H537" s="376"/>
      <c r="I537" s="377"/>
    </row>
    <row r="538" spans="2:11" ht="13.5" customHeight="1" thickBot="1" x14ac:dyDescent="0.25">
      <c r="B538" s="158">
        <v>1</v>
      </c>
      <c r="C538" s="163">
        <v>8.0500000000000007</v>
      </c>
      <c r="D538" s="163">
        <v>4.4000000000000004</v>
      </c>
      <c r="E538" s="163">
        <v>0.4</v>
      </c>
      <c r="F538" s="163">
        <f>(C538*D538)-E538</f>
        <v>35.02000000000001</v>
      </c>
      <c r="G538" s="361" t="s">
        <v>348</v>
      </c>
      <c r="H538" s="362"/>
      <c r="I538" s="363"/>
    </row>
    <row r="539" spans="2:11" ht="13.5" customHeight="1" thickBot="1" x14ac:dyDescent="0.25">
      <c r="B539" s="158">
        <v>1</v>
      </c>
      <c r="C539" s="163">
        <v>8.0500000000000007</v>
      </c>
      <c r="D539" s="163">
        <v>4.4000000000000004</v>
      </c>
      <c r="E539" s="163">
        <v>0.4</v>
      </c>
      <c r="F539" s="163">
        <f>(C539*D539)-E539</f>
        <v>35.02000000000001</v>
      </c>
      <c r="G539" s="361" t="s">
        <v>349</v>
      </c>
      <c r="H539" s="362"/>
      <c r="I539" s="363"/>
    </row>
    <row r="540" spans="2:11" ht="13.5" customHeight="1" thickBot="1" x14ac:dyDescent="0.25">
      <c r="B540" s="158">
        <v>1</v>
      </c>
      <c r="C540" s="163">
        <v>15</v>
      </c>
      <c r="D540" s="163">
        <v>4.4000000000000004</v>
      </c>
      <c r="E540" s="163"/>
      <c r="F540" s="163">
        <f>(C540*D540)-E540</f>
        <v>66</v>
      </c>
      <c r="G540" s="361" t="s">
        <v>350</v>
      </c>
      <c r="H540" s="362"/>
      <c r="I540" s="363"/>
    </row>
    <row r="541" spans="2:11" ht="13.5" thickBot="1" x14ac:dyDescent="0.25">
      <c r="B541" s="160"/>
      <c r="C541" s="161"/>
      <c r="D541" s="161"/>
      <c r="E541" s="161"/>
      <c r="F541" s="161"/>
      <c r="G541" s="438"/>
      <c r="H541" s="438"/>
      <c r="I541" s="438"/>
    </row>
    <row r="542" spans="2:11" ht="13.5" thickBot="1" x14ac:dyDescent="0.25">
      <c r="B542" s="345" t="s">
        <v>0</v>
      </c>
      <c r="C542" s="345" t="s">
        <v>9</v>
      </c>
      <c r="D542" s="345" t="s">
        <v>1</v>
      </c>
      <c r="E542" s="345" t="s">
        <v>189</v>
      </c>
      <c r="F542" s="345" t="s">
        <v>8</v>
      </c>
      <c r="G542" s="143"/>
      <c r="H542" s="143"/>
      <c r="I542" s="143"/>
    </row>
    <row r="543" spans="2:11" ht="13.5" thickBot="1" x14ac:dyDescent="0.25">
      <c r="B543" s="345"/>
      <c r="C543" s="345"/>
      <c r="D543" s="345"/>
      <c r="E543" s="345"/>
      <c r="F543" s="345"/>
      <c r="G543" s="143"/>
      <c r="H543" s="143"/>
      <c r="I543" s="143"/>
    </row>
    <row r="544" spans="2:11" ht="48.75" thickBot="1" x14ac:dyDescent="0.25">
      <c r="B544" s="140" t="s">
        <v>590</v>
      </c>
      <c r="C544" s="268" t="s">
        <v>610</v>
      </c>
      <c r="D544" s="135" t="s">
        <v>737</v>
      </c>
      <c r="E544" s="133" t="s">
        <v>440</v>
      </c>
      <c r="F544" s="134">
        <f>SUM(H547:H550)+SUM(H553:H556)+SUM(H559)+SUM(H562:H563)+SUM(H566:H569)+SUM(H572:H573)</f>
        <v>5069.1922400000012</v>
      </c>
      <c r="G544" s="143"/>
      <c r="H544" s="143"/>
      <c r="I544" s="143"/>
    </row>
    <row r="545" spans="2:9" ht="13.5" thickBot="1" x14ac:dyDescent="0.25">
      <c r="B545" s="338" t="s">
        <v>305</v>
      </c>
      <c r="C545" s="339"/>
      <c r="D545" s="339"/>
      <c r="E545" s="339"/>
      <c r="F545" s="339"/>
      <c r="G545" s="339"/>
      <c r="H545" s="339"/>
      <c r="I545" s="340"/>
    </row>
    <row r="546" spans="2:9" ht="13.5" customHeight="1" thickBot="1" x14ac:dyDescent="0.25">
      <c r="B546" s="148" t="s">
        <v>234</v>
      </c>
      <c r="C546" s="148" t="s">
        <v>321</v>
      </c>
      <c r="D546" s="148" t="s">
        <v>255</v>
      </c>
      <c r="E546" s="148" t="s">
        <v>322</v>
      </c>
      <c r="F546" s="148" t="s">
        <v>323</v>
      </c>
      <c r="G546" s="148" t="s">
        <v>245</v>
      </c>
      <c r="H546" s="148" t="s">
        <v>246</v>
      </c>
      <c r="I546" s="141" t="s">
        <v>235</v>
      </c>
    </row>
    <row r="547" spans="2:9" ht="13.5" customHeight="1" thickBot="1" x14ac:dyDescent="0.25">
      <c r="B547" s="144">
        <v>1</v>
      </c>
      <c r="C547" s="162" t="s">
        <v>320</v>
      </c>
      <c r="D547" s="162">
        <v>7.9</v>
      </c>
      <c r="E547" s="162">
        <v>0.8</v>
      </c>
      <c r="F547" s="162">
        <f>D547*E547</f>
        <v>6.32</v>
      </c>
      <c r="G547" s="193">
        <v>49.39</v>
      </c>
      <c r="H547" s="193">
        <f>F547*G547</f>
        <v>312.14480000000003</v>
      </c>
      <c r="I547" s="162" t="s">
        <v>285</v>
      </c>
    </row>
    <row r="548" spans="2:9" ht="13.5" customHeight="1" thickBot="1" x14ac:dyDescent="0.25">
      <c r="B548" s="144">
        <v>1</v>
      </c>
      <c r="C548" s="162" t="s">
        <v>320</v>
      </c>
      <c r="D548" s="162">
        <v>7.9</v>
      </c>
      <c r="E548" s="162">
        <v>0.8</v>
      </c>
      <c r="F548" s="162">
        <f>D548*E548</f>
        <v>6.32</v>
      </c>
      <c r="G548" s="193">
        <v>49.39</v>
      </c>
      <c r="H548" s="193">
        <f>F548*G548</f>
        <v>312.14480000000003</v>
      </c>
      <c r="I548" s="162" t="s">
        <v>286</v>
      </c>
    </row>
    <row r="549" spans="2:9" ht="13.5" customHeight="1" thickBot="1" x14ac:dyDescent="0.25">
      <c r="B549" s="144">
        <v>1</v>
      </c>
      <c r="C549" s="162" t="s">
        <v>320</v>
      </c>
      <c r="D549" s="162">
        <v>7.9</v>
      </c>
      <c r="E549" s="162">
        <v>0.8</v>
      </c>
      <c r="F549" s="162">
        <f>D549*E549</f>
        <v>6.32</v>
      </c>
      <c r="G549" s="193">
        <v>49.39</v>
      </c>
      <c r="H549" s="193">
        <f>F549*G549</f>
        <v>312.14480000000003</v>
      </c>
      <c r="I549" s="162" t="s">
        <v>287</v>
      </c>
    </row>
    <row r="550" spans="2:9" ht="13.5" customHeight="1" thickBot="1" x14ac:dyDescent="0.25">
      <c r="B550" s="144">
        <v>1</v>
      </c>
      <c r="C550" s="162" t="s">
        <v>320</v>
      </c>
      <c r="D550" s="162">
        <v>7.9</v>
      </c>
      <c r="E550" s="162">
        <v>0.8</v>
      </c>
      <c r="F550" s="162">
        <f>D550*E550</f>
        <v>6.32</v>
      </c>
      <c r="G550" s="193">
        <v>49.39</v>
      </c>
      <c r="H550" s="193">
        <f>F550*G550</f>
        <v>312.14480000000003</v>
      </c>
      <c r="I550" s="162" t="s">
        <v>288</v>
      </c>
    </row>
    <row r="551" spans="2:9" ht="13.5" customHeight="1" thickBot="1" x14ac:dyDescent="0.25">
      <c r="B551" s="338" t="s">
        <v>324</v>
      </c>
      <c r="C551" s="339"/>
      <c r="D551" s="339"/>
      <c r="E551" s="339"/>
      <c r="F551" s="339"/>
      <c r="G551" s="339"/>
      <c r="H551" s="339"/>
      <c r="I551" s="340"/>
    </row>
    <row r="552" spans="2:9" ht="13.5" customHeight="1" thickBot="1" x14ac:dyDescent="0.25">
      <c r="B552" s="148" t="s">
        <v>234</v>
      </c>
      <c r="C552" s="148" t="s">
        <v>321</v>
      </c>
      <c r="D552" s="148" t="s">
        <v>255</v>
      </c>
      <c r="E552" s="148" t="s">
        <v>322</v>
      </c>
      <c r="F552" s="148" t="s">
        <v>323</v>
      </c>
      <c r="G552" s="148" t="s">
        <v>245</v>
      </c>
      <c r="H552" s="148" t="s">
        <v>246</v>
      </c>
      <c r="I552" s="141" t="s">
        <v>235</v>
      </c>
    </row>
    <row r="553" spans="2:9" ht="13.5" customHeight="1" thickBot="1" x14ac:dyDescent="0.25">
      <c r="B553" s="144">
        <v>1</v>
      </c>
      <c r="C553" s="163" t="s">
        <v>329</v>
      </c>
      <c r="D553" s="163">
        <v>0.45</v>
      </c>
      <c r="E553" s="163">
        <v>0.45</v>
      </c>
      <c r="F553" s="194">
        <f>D553*E553</f>
        <v>0.20250000000000001</v>
      </c>
      <c r="G553" s="163">
        <v>149</v>
      </c>
      <c r="H553" s="163">
        <f>F553*G553</f>
        <v>30.172500000000003</v>
      </c>
      <c r="I553" s="163" t="s">
        <v>325</v>
      </c>
    </row>
    <row r="554" spans="2:9" ht="13.5" customHeight="1" thickBot="1" x14ac:dyDescent="0.25">
      <c r="B554" s="144">
        <v>1</v>
      </c>
      <c r="C554" s="163" t="s">
        <v>329</v>
      </c>
      <c r="D554" s="163">
        <v>0.45</v>
      </c>
      <c r="E554" s="163">
        <v>0.45</v>
      </c>
      <c r="F554" s="194">
        <f>D554*E554</f>
        <v>0.20250000000000001</v>
      </c>
      <c r="G554" s="163">
        <v>149</v>
      </c>
      <c r="H554" s="163">
        <f>F554*G554</f>
        <v>30.172500000000003</v>
      </c>
      <c r="I554" s="163" t="s">
        <v>326</v>
      </c>
    </row>
    <row r="555" spans="2:9" ht="13.5" customHeight="1" thickBot="1" x14ac:dyDescent="0.25">
      <c r="B555" s="144">
        <v>1</v>
      </c>
      <c r="C555" s="163" t="s">
        <v>329</v>
      </c>
      <c r="D555" s="163">
        <v>0.45</v>
      </c>
      <c r="E555" s="163">
        <v>0.45</v>
      </c>
      <c r="F555" s="194">
        <f>D555*E555</f>
        <v>0.20250000000000001</v>
      </c>
      <c r="G555" s="163">
        <v>149</v>
      </c>
      <c r="H555" s="163">
        <f>F555*G555</f>
        <v>30.172500000000003</v>
      </c>
      <c r="I555" s="163" t="s">
        <v>327</v>
      </c>
    </row>
    <row r="556" spans="2:9" ht="13.5" customHeight="1" thickBot="1" x14ac:dyDescent="0.25">
      <c r="B556" s="144">
        <v>1</v>
      </c>
      <c r="C556" s="163" t="s">
        <v>329</v>
      </c>
      <c r="D556" s="163">
        <v>0.45</v>
      </c>
      <c r="E556" s="163">
        <v>0.45</v>
      </c>
      <c r="F556" s="194">
        <f>D556*E556</f>
        <v>0.20250000000000001</v>
      </c>
      <c r="G556" s="163">
        <v>149</v>
      </c>
      <c r="H556" s="163">
        <f>F556*G556</f>
        <v>30.172500000000003</v>
      </c>
      <c r="I556" s="163" t="s">
        <v>328</v>
      </c>
    </row>
    <row r="557" spans="2:9" ht="13.5" thickBot="1" x14ac:dyDescent="0.25">
      <c r="B557" s="338" t="s">
        <v>330</v>
      </c>
      <c r="C557" s="339"/>
      <c r="D557" s="339"/>
      <c r="E557" s="339"/>
      <c r="F557" s="339"/>
      <c r="G557" s="339"/>
      <c r="H557" s="339"/>
      <c r="I557" s="340"/>
    </row>
    <row r="558" spans="2:9" ht="13.5" thickBot="1" x14ac:dyDescent="0.25">
      <c r="B558" s="148" t="s">
        <v>234</v>
      </c>
      <c r="C558" s="148" t="s">
        <v>321</v>
      </c>
      <c r="D558" s="148" t="s">
        <v>255</v>
      </c>
      <c r="E558" s="148" t="s">
        <v>244</v>
      </c>
      <c r="F558" s="148"/>
      <c r="G558" s="148" t="s">
        <v>245</v>
      </c>
      <c r="H558" s="148" t="s">
        <v>246</v>
      </c>
      <c r="I558" s="141" t="s">
        <v>235</v>
      </c>
    </row>
    <row r="559" spans="2:9" ht="13.5" thickBot="1" x14ac:dyDescent="0.25">
      <c r="B559" s="144">
        <v>16</v>
      </c>
      <c r="C559" s="163">
        <v>25</v>
      </c>
      <c r="D559" s="163">
        <v>0.5</v>
      </c>
      <c r="E559" s="163">
        <f>B559*D559</f>
        <v>8</v>
      </c>
      <c r="F559" s="194"/>
      <c r="G559" s="163">
        <v>4</v>
      </c>
      <c r="H559" s="163">
        <f>E559*G559</f>
        <v>32</v>
      </c>
      <c r="I559" s="163" t="s">
        <v>332</v>
      </c>
    </row>
    <row r="560" spans="2:9" ht="13.5" customHeight="1" thickBot="1" x14ac:dyDescent="0.25">
      <c r="B560" s="338" t="s">
        <v>331</v>
      </c>
      <c r="C560" s="339"/>
      <c r="D560" s="339"/>
      <c r="E560" s="339"/>
      <c r="F560" s="339"/>
      <c r="G560" s="339"/>
      <c r="H560" s="339"/>
      <c r="I560" s="340"/>
    </row>
    <row r="561" spans="2:9" ht="13.5" thickBot="1" x14ac:dyDescent="0.25">
      <c r="B561" s="148" t="s">
        <v>234</v>
      </c>
      <c r="C561" s="148" t="s">
        <v>321</v>
      </c>
      <c r="D561" s="148" t="s">
        <v>255</v>
      </c>
      <c r="E561" s="148" t="s">
        <v>322</v>
      </c>
      <c r="F561" s="148" t="s">
        <v>323</v>
      </c>
      <c r="G561" s="148" t="s">
        <v>245</v>
      </c>
      <c r="H561" s="148" t="s">
        <v>246</v>
      </c>
      <c r="I561" s="141" t="s">
        <v>235</v>
      </c>
    </row>
    <row r="562" spans="2:9" ht="13.5" thickBot="1" x14ac:dyDescent="0.25">
      <c r="B562" s="144">
        <v>1</v>
      </c>
      <c r="C562" s="162" t="s">
        <v>320</v>
      </c>
      <c r="D562" s="163">
        <v>18.71</v>
      </c>
      <c r="E562" s="163">
        <v>0.8</v>
      </c>
      <c r="F562" s="194">
        <f>D562*E562</f>
        <v>14.968000000000002</v>
      </c>
      <c r="G562" s="163">
        <v>49.39</v>
      </c>
      <c r="H562" s="163">
        <f>F562*G562</f>
        <v>739.26952000000006</v>
      </c>
      <c r="I562" s="163" t="s">
        <v>333</v>
      </c>
    </row>
    <row r="563" spans="2:9" ht="13.5" thickBot="1" x14ac:dyDescent="0.25">
      <c r="B563" s="144">
        <v>1</v>
      </c>
      <c r="C563" s="162" t="s">
        <v>320</v>
      </c>
      <c r="D563" s="163">
        <v>18.71</v>
      </c>
      <c r="E563" s="163">
        <v>0.8</v>
      </c>
      <c r="F563" s="194">
        <f>D563*E563</f>
        <v>14.968000000000002</v>
      </c>
      <c r="G563" s="163">
        <v>49.39</v>
      </c>
      <c r="H563" s="163">
        <f>F563*G563</f>
        <v>739.26952000000006</v>
      </c>
      <c r="I563" s="163" t="s">
        <v>334</v>
      </c>
    </row>
    <row r="564" spans="2:9" ht="13.5" thickBot="1" x14ac:dyDescent="0.25">
      <c r="B564" s="338" t="s">
        <v>339</v>
      </c>
      <c r="C564" s="339"/>
      <c r="D564" s="339"/>
      <c r="E564" s="339"/>
      <c r="F564" s="339"/>
      <c r="G564" s="339"/>
      <c r="H564" s="339"/>
      <c r="I564" s="340"/>
    </row>
    <row r="565" spans="2:9" ht="13.5" thickBot="1" x14ac:dyDescent="0.25">
      <c r="B565" s="148" t="s">
        <v>234</v>
      </c>
      <c r="C565" s="148" t="s">
        <v>321</v>
      </c>
      <c r="D565" s="148" t="s">
        <v>255</v>
      </c>
      <c r="E565" s="148" t="s">
        <v>322</v>
      </c>
      <c r="F565" s="148" t="s">
        <v>323</v>
      </c>
      <c r="G565" s="148" t="s">
        <v>245</v>
      </c>
      <c r="H565" s="148" t="s">
        <v>246</v>
      </c>
      <c r="I565" s="141" t="s">
        <v>235</v>
      </c>
    </row>
    <row r="566" spans="2:9" ht="13.5" thickBot="1" x14ac:dyDescent="0.25">
      <c r="B566" s="144">
        <v>2</v>
      </c>
      <c r="C566" s="163" t="s">
        <v>344</v>
      </c>
      <c r="D566" s="163">
        <v>15.43</v>
      </c>
      <c r="E566" s="163">
        <v>0.6</v>
      </c>
      <c r="F566" s="194">
        <f>D566*E566</f>
        <v>9.2579999999999991</v>
      </c>
      <c r="G566" s="163">
        <v>16</v>
      </c>
      <c r="H566" s="163">
        <f>B566*F566*G566</f>
        <v>296.25599999999997</v>
      </c>
      <c r="I566" s="163" t="s">
        <v>333</v>
      </c>
    </row>
    <row r="567" spans="2:9" ht="13.5" thickBot="1" x14ac:dyDescent="0.25">
      <c r="B567" s="144">
        <v>3</v>
      </c>
      <c r="C567" s="163" t="s">
        <v>344</v>
      </c>
      <c r="D567" s="163">
        <v>15.13</v>
      </c>
      <c r="E567" s="163">
        <v>0.6</v>
      </c>
      <c r="F567" s="194">
        <f>D567*E567</f>
        <v>9.0779999999999994</v>
      </c>
      <c r="G567" s="163">
        <v>16</v>
      </c>
      <c r="H567" s="163">
        <f>B567*F567*G567</f>
        <v>435.74399999999997</v>
      </c>
      <c r="I567" s="163" t="s">
        <v>334</v>
      </c>
    </row>
    <row r="568" spans="2:9" ht="13.5" thickBot="1" x14ac:dyDescent="0.25">
      <c r="B568" s="144">
        <v>8</v>
      </c>
      <c r="C568" s="163" t="s">
        <v>344</v>
      </c>
      <c r="D568" s="163">
        <v>9.85</v>
      </c>
      <c r="E568" s="163">
        <v>0.6</v>
      </c>
      <c r="F568" s="194">
        <f>D568*E568</f>
        <v>5.9099999999999993</v>
      </c>
      <c r="G568" s="163">
        <v>16</v>
      </c>
      <c r="H568" s="163">
        <f>B568*F568*G568</f>
        <v>756.4799999999999</v>
      </c>
      <c r="I568" s="163" t="s">
        <v>340</v>
      </c>
    </row>
    <row r="569" spans="2:9" ht="13.5" thickBot="1" x14ac:dyDescent="0.25">
      <c r="B569" s="144">
        <v>16</v>
      </c>
      <c r="C569" s="163" t="s">
        <v>344</v>
      </c>
      <c r="D569" s="163">
        <v>14.7</v>
      </c>
      <c r="E569" s="163">
        <v>0.16</v>
      </c>
      <c r="F569" s="194">
        <f>D569*E569</f>
        <v>2.3519999999999999</v>
      </c>
      <c r="G569" s="163">
        <v>16</v>
      </c>
      <c r="H569" s="163">
        <f>B569*F569*G569</f>
        <v>602.11199999999997</v>
      </c>
      <c r="I569" s="163" t="s">
        <v>341</v>
      </c>
    </row>
    <row r="570" spans="2:9" ht="13.5" thickBot="1" x14ac:dyDescent="0.25">
      <c r="B570" s="338" t="s">
        <v>346</v>
      </c>
      <c r="C570" s="339"/>
      <c r="D570" s="339"/>
      <c r="E570" s="339"/>
      <c r="F570" s="339"/>
      <c r="G570" s="339"/>
      <c r="H570" s="339"/>
      <c r="I570" s="340"/>
    </row>
    <row r="571" spans="2:9" ht="13.5" thickBot="1" x14ac:dyDescent="0.25">
      <c r="B571" s="148" t="s">
        <v>234</v>
      </c>
      <c r="C571" s="148" t="s">
        <v>321</v>
      </c>
      <c r="D571" s="148" t="s">
        <v>255</v>
      </c>
      <c r="E571" s="148" t="s">
        <v>244</v>
      </c>
      <c r="F571" s="148"/>
      <c r="G571" s="148" t="s">
        <v>245</v>
      </c>
      <c r="H571" s="148" t="s">
        <v>246</v>
      </c>
      <c r="I571" s="141" t="s">
        <v>235</v>
      </c>
    </row>
    <row r="572" spans="2:9" ht="13.5" thickBot="1" x14ac:dyDescent="0.25">
      <c r="B572" s="144">
        <v>4</v>
      </c>
      <c r="C572" s="163" t="s">
        <v>345</v>
      </c>
      <c r="D572" s="163">
        <v>5</v>
      </c>
      <c r="E572" s="163">
        <f>B572*D572</f>
        <v>20</v>
      </c>
      <c r="F572" s="194"/>
      <c r="G572" s="163">
        <v>2.33</v>
      </c>
      <c r="H572" s="163">
        <f>E572*G572</f>
        <v>46.6</v>
      </c>
      <c r="I572" s="163" t="s">
        <v>342</v>
      </c>
    </row>
    <row r="573" spans="2:9" ht="13.5" thickBot="1" x14ac:dyDescent="0.25">
      <c r="B573" s="144">
        <v>4</v>
      </c>
      <c r="C573" s="163" t="s">
        <v>345</v>
      </c>
      <c r="D573" s="163">
        <v>5.6</v>
      </c>
      <c r="E573" s="163">
        <f>B573*D573</f>
        <v>22.4</v>
      </c>
      <c r="F573" s="194"/>
      <c r="G573" s="163">
        <v>2.33</v>
      </c>
      <c r="H573" s="163">
        <f>E573*G573</f>
        <v>52.192</v>
      </c>
      <c r="I573" s="163" t="s">
        <v>343</v>
      </c>
    </row>
    <row r="574" spans="2:9" ht="13.5" thickBot="1" x14ac:dyDescent="0.25">
      <c r="G574" s="143"/>
      <c r="H574" s="143"/>
      <c r="I574" s="143"/>
    </row>
    <row r="575" spans="2:9" ht="13.5" thickBot="1" x14ac:dyDescent="0.25">
      <c r="B575" s="345" t="s">
        <v>0</v>
      </c>
      <c r="C575" s="345" t="s">
        <v>9</v>
      </c>
      <c r="D575" s="345" t="s">
        <v>1</v>
      </c>
      <c r="E575" s="345" t="s">
        <v>189</v>
      </c>
      <c r="F575" s="345" t="s">
        <v>8</v>
      </c>
      <c r="G575" s="143"/>
      <c r="H575" s="143"/>
      <c r="I575" s="143"/>
    </row>
    <row r="576" spans="2:9" ht="13.5" thickBot="1" x14ac:dyDescent="0.25">
      <c r="B576" s="345"/>
      <c r="C576" s="345"/>
      <c r="D576" s="345"/>
      <c r="E576" s="345"/>
      <c r="F576" s="345"/>
      <c r="G576" s="143"/>
      <c r="H576" s="143"/>
      <c r="I576" s="143"/>
    </row>
    <row r="577" spans="2:11" ht="48.75" thickBot="1" x14ac:dyDescent="0.25">
      <c r="B577" s="140" t="s">
        <v>594</v>
      </c>
      <c r="C577" s="211" t="s">
        <v>477</v>
      </c>
      <c r="D577" s="135" t="s">
        <v>185</v>
      </c>
      <c r="E577" s="133" t="s">
        <v>58</v>
      </c>
      <c r="F577" s="134">
        <f>SUM(F579:F584)</f>
        <v>0.24320000000000006</v>
      </c>
      <c r="G577" s="143"/>
      <c r="H577" s="143"/>
      <c r="I577" s="143"/>
    </row>
    <row r="578" spans="2:11" ht="13.5" customHeight="1" thickBot="1" x14ac:dyDescent="0.25">
      <c r="B578" s="148" t="s">
        <v>234</v>
      </c>
      <c r="C578" s="162" t="s">
        <v>314</v>
      </c>
      <c r="D578" s="162" t="s">
        <v>255</v>
      </c>
      <c r="E578" s="162" t="s">
        <v>315</v>
      </c>
      <c r="F578" s="162" t="s">
        <v>300</v>
      </c>
      <c r="G578" s="361" t="s">
        <v>235</v>
      </c>
      <c r="H578" s="362"/>
      <c r="I578" s="363"/>
    </row>
    <row r="579" spans="2:11" ht="13.5" customHeight="1" thickBot="1" x14ac:dyDescent="0.25">
      <c r="B579" s="167">
        <v>2</v>
      </c>
      <c r="C579" s="162">
        <v>0.1</v>
      </c>
      <c r="D579" s="163">
        <f>2.83+2.83+0.2</f>
        <v>5.86</v>
      </c>
      <c r="E579" s="162">
        <v>0.1</v>
      </c>
      <c r="F579" s="162">
        <f t="shared" ref="F579:F584" si="34">B579*C579*D579*E579</f>
        <v>0.11720000000000003</v>
      </c>
      <c r="G579" s="352" t="s">
        <v>362</v>
      </c>
      <c r="H579" s="353"/>
      <c r="I579" s="354"/>
    </row>
    <row r="580" spans="2:11" ht="13.5" customHeight="1" thickBot="1" x14ac:dyDescent="0.25">
      <c r="B580" s="167">
        <v>2</v>
      </c>
      <c r="C580" s="162">
        <v>0.1</v>
      </c>
      <c r="D580" s="163">
        <v>1.8</v>
      </c>
      <c r="E580" s="162">
        <v>0.1</v>
      </c>
      <c r="F580" s="162">
        <f t="shared" si="34"/>
        <v>3.6000000000000004E-2</v>
      </c>
      <c r="G580" s="352" t="s">
        <v>365</v>
      </c>
      <c r="H580" s="353"/>
      <c r="I580" s="354"/>
    </row>
    <row r="581" spans="2:11" ht="13.5" customHeight="1" thickBot="1" x14ac:dyDescent="0.25">
      <c r="B581" s="167">
        <v>2</v>
      </c>
      <c r="C581" s="162">
        <v>0.1</v>
      </c>
      <c r="D581" s="163">
        <v>1.8</v>
      </c>
      <c r="E581" s="162">
        <v>0.1</v>
      </c>
      <c r="F581" s="162">
        <f t="shared" si="34"/>
        <v>3.6000000000000004E-2</v>
      </c>
      <c r="G581" s="352" t="s">
        <v>363</v>
      </c>
      <c r="H581" s="353"/>
      <c r="I581" s="354"/>
    </row>
    <row r="582" spans="2:11" ht="13.5" customHeight="1" thickBot="1" x14ac:dyDescent="0.25">
      <c r="B582" s="167">
        <v>2</v>
      </c>
      <c r="C582" s="162">
        <v>0.1</v>
      </c>
      <c r="D582" s="163">
        <f>0.8*2</f>
        <v>1.6</v>
      </c>
      <c r="E582" s="162">
        <v>0.1</v>
      </c>
      <c r="F582" s="162">
        <f t="shared" si="34"/>
        <v>3.2000000000000008E-2</v>
      </c>
      <c r="G582" s="352" t="s">
        <v>364</v>
      </c>
      <c r="H582" s="353"/>
      <c r="I582" s="354"/>
    </row>
    <row r="583" spans="2:11" ht="13.5" customHeight="1" thickBot="1" x14ac:dyDescent="0.25">
      <c r="B583" s="167">
        <v>1</v>
      </c>
      <c r="C583" s="162">
        <v>0.1</v>
      </c>
      <c r="D583" s="163">
        <v>1</v>
      </c>
      <c r="E583" s="162">
        <v>0.1</v>
      </c>
      <c r="F583" s="162">
        <f t="shared" si="34"/>
        <v>1.0000000000000002E-2</v>
      </c>
      <c r="G583" s="352" t="s">
        <v>366</v>
      </c>
      <c r="H583" s="353"/>
      <c r="I583" s="354"/>
    </row>
    <row r="584" spans="2:11" ht="13.5" customHeight="1" thickBot="1" x14ac:dyDescent="0.25">
      <c r="B584" s="167">
        <v>1</v>
      </c>
      <c r="C584" s="162">
        <v>0.1</v>
      </c>
      <c r="D584" s="163">
        <v>1.2</v>
      </c>
      <c r="E584" s="162">
        <v>0.1</v>
      </c>
      <c r="F584" s="162">
        <f t="shared" si="34"/>
        <v>1.2E-2</v>
      </c>
      <c r="G584" s="352" t="s">
        <v>367</v>
      </c>
      <c r="H584" s="353"/>
      <c r="I584" s="354"/>
      <c r="K584" s="143" t="s">
        <v>368</v>
      </c>
    </row>
    <row r="585" spans="2:11" x14ac:dyDescent="0.2">
      <c r="B585" s="146"/>
      <c r="C585" s="147"/>
      <c r="D585" s="147"/>
      <c r="E585" s="147"/>
      <c r="F585" s="147"/>
      <c r="G585" s="130"/>
      <c r="H585" s="130"/>
      <c r="I585" s="130"/>
    </row>
    <row r="586" spans="2:11" ht="13.5" thickBot="1" x14ac:dyDescent="0.25"/>
    <row r="587" spans="2:11" ht="15.75" thickBot="1" x14ac:dyDescent="0.25">
      <c r="B587" s="139">
        <v>5</v>
      </c>
      <c r="C587" s="384" t="s">
        <v>3</v>
      </c>
      <c r="D587" s="384"/>
      <c r="E587" s="384"/>
      <c r="F587" s="384"/>
      <c r="G587" s="384"/>
      <c r="H587" s="384"/>
      <c r="I587" s="384"/>
    </row>
    <row r="589" spans="2:11" ht="13.5" thickBot="1" x14ac:dyDescent="0.25"/>
    <row r="590" spans="2:11" ht="13.5" thickBot="1" x14ac:dyDescent="0.25">
      <c r="B590" s="345" t="s">
        <v>0</v>
      </c>
      <c r="C590" s="345" t="s">
        <v>9</v>
      </c>
      <c r="D590" s="345" t="s">
        <v>1</v>
      </c>
      <c r="E590" s="345" t="s">
        <v>189</v>
      </c>
      <c r="F590" s="345" t="s">
        <v>8</v>
      </c>
      <c r="G590" s="143"/>
      <c r="H590" s="143"/>
      <c r="I590" s="143"/>
    </row>
    <row r="591" spans="2:11" ht="13.5" thickBot="1" x14ac:dyDescent="0.25">
      <c r="B591" s="345"/>
      <c r="C591" s="345"/>
      <c r="D591" s="345"/>
      <c r="E591" s="345"/>
      <c r="F591" s="345"/>
      <c r="G591" s="143"/>
      <c r="H591" s="143"/>
      <c r="I591" s="143"/>
    </row>
    <row r="592" spans="2:11" ht="36.75" thickBot="1" x14ac:dyDescent="0.25">
      <c r="B592" s="140" t="s">
        <v>16</v>
      </c>
      <c r="C592" s="211">
        <v>89168</v>
      </c>
      <c r="D592" s="135" t="s">
        <v>478</v>
      </c>
      <c r="E592" s="133" t="s">
        <v>10</v>
      </c>
      <c r="F592" s="134">
        <f>SUM(F594:F603)</f>
        <v>38.100999999999999</v>
      </c>
      <c r="G592" s="143"/>
      <c r="H592" s="143"/>
      <c r="I592" s="143"/>
    </row>
    <row r="593" spans="2:11" ht="24.75" thickBot="1" x14ac:dyDescent="0.25">
      <c r="B593" s="148" t="s">
        <v>234</v>
      </c>
      <c r="C593" s="136" t="s">
        <v>314</v>
      </c>
      <c r="D593" s="136" t="s">
        <v>255</v>
      </c>
      <c r="E593" s="136" t="s">
        <v>360</v>
      </c>
      <c r="F593" s="136" t="s">
        <v>300</v>
      </c>
      <c r="G593" s="375" t="s">
        <v>235</v>
      </c>
      <c r="H593" s="376"/>
      <c r="I593" s="377"/>
    </row>
    <row r="594" spans="2:11" ht="13.5" thickBot="1" x14ac:dyDescent="0.25">
      <c r="B594" s="158">
        <v>1</v>
      </c>
      <c r="C594" s="144">
        <v>2.35</v>
      </c>
      <c r="D594" s="144">
        <v>3.55</v>
      </c>
      <c r="E594" s="144">
        <v>1.68</v>
      </c>
      <c r="F594" s="144">
        <f>(C594*D594)-E594</f>
        <v>6.6624999999999996</v>
      </c>
      <c r="G594" s="352" t="s">
        <v>285</v>
      </c>
      <c r="H594" s="353"/>
      <c r="I594" s="354"/>
    </row>
    <row r="595" spans="2:11" ht="13.5" thickBot="1" x14ac:dyDescent="0.25">
      <c r="B595" s="158">
        <v>1</v>
      </c>
      <c r="C595" s="144">
        <v>2.35</v>
      </c>
      <c r="D595" s="144">
        <v>3.55</v>
      </c>
      <c r="E595" s="144">
        <v>1.68</v>
      </c>
      <c r="F595" s="144">
        <f t="shared" ref="F595:F602" si="35">(C595*D595)-E595</f>
        <v>6.6624999999999996</v>
      </c>
      <c r="G595" s="352" t="s">
        <v>286</v>
      </c>
      <c r="H595" s="353"/>
      <c r="I595" s="354"/>
    </row>
    <row r="596" spans="2:11" ht="13.5" thickBot="1" x14ac:dyDescent="0.25">
      <c r="B596" s="158">
        <v>1</v>
      </c>
      <c r="C596" s="144">
        <v>2.35</v>
      </c>
      <c r="D596" s="144">
        <v>5.66</v>
      </c>
      <c r="E596" s="144">
        <f>10*0.63</f>
        <v>6.3</v>
      </c>
      <c r="F596" s="144">
        <f t="shared" si="35"/>
        <v>7.0010000000000003</v>
      </c>
      <c r="G596" s="352" t="s">
        <v>287</v>
      </c>
      <c r="H596" s="353"/>
      <c r="I596" s="354"/>
    </row>
    <row r="597" spans="2:11" ht="13.5" thickBot="1" x14ac:dyDescent="0.25">
      <c r="B597" s="158">
        <v>1</v>
      </c>
      <c r="C597" s="144">
        <v>2.35</v>
      </c>
      <c r="D597" s="144">
        <v>2.25</v>
      </c>
      <c r="E597" s="144">
        <v>0.2</v>
      </c>
      <c r="F597" s="144">
        <f t="shared" si="35"/>
        <v>5.0875000000000004</v>
      </c>
      <c r="G597" s="352" t="s">
        <v>288</v>
      </c>
      <c r="H597" s="353"/>
      <c r="I597" s="354"/>
    </row>
    <row r="598" spans="2:11" ht="13.5" thickBot="1" x14ac:dyDescent="0.25">
      <c r="B598" s="158">
        <v>1</v>
      </c>
      <c r="C598" s="144">
        <v>2.35</v>
      </c>
      <c r="D598" s="144">
        <v>1.5</v>
      </c>
      <c r="E598" s="144">
        <v>0</v>
      </c>
      <c r="F598" s="144">
        <f t="shared" si="35"/>
        <v>3.5250000000000004</v>
      </c>
      <c r="G598" s="352" t="s">
        <v>289</v>
      </c>
      <c r="H598" s="353"/>
      <c r="I598" s="354"/>
    </row>
    <row r="599" spans="2:11" ht="13.5" thickBot="1" x14ac:dyDescent="0.25">
      <c r="B599" s="158">
        <v>1</v>
      </c>
      <c r="C599" s="144">
        <v>2.35</v>
      </c>
      <c r="D599" s="144">
        <v>2.25</v>
      </c>
      <c r="E599" s="144">
        <v>1.26</v>
      </c>
      <c r="F599" s="144">
        <f t="shared" si="35"/>
        <v>4.0275000000000007</v>
      </c>
      <c r="G599" s="352" t="s">
        <v>290</v>
      </c>
      <c r="H599" s="353"/>
      <c r="I599" s="354"/>
    </row>
    <row r="600" spans="2:11" ht="13.5" thickBot="1" x14ac:dyDescent="0.25">
      <c r="B600" s="158">
        <v>1</v>
      </c>
      <c r="C600" s="144">
        <v>2.35</v>
      </c>
      <c r="D600" s="144">
        <v>0.9</v>
      </c>
      <c r="E600" s="144">
        <v>1.86</v>
      </c>
      <c r="F600" s="144">
        <f t="shared" si="35"/>
        <v>0.25500000000000012</v>
      </c>
      <c r="G600" s="352" t="s">
        <v>291</v>
      </c>
      <c r="H600" s="353"/>
      <c r="I600" s="354"/>
    </row>
    <row r="601" spans="2:11" ht="13.5" thickBot="1" x14ac:dyDescent="0.25">
      <c r="B601" s="158">
        <v>1</v>
      </c>
      <c r="C601" s="144">
        <v>2.5</v>
      </c>
      <c r="D601" s="144">
        <v>2</v>
      </c>
      <c r="E601" s="144">
        <v>2.56</v>
      </c>
      <c r="F601" s="144">
        <f t="shared" si="35"/>
        <v>2.44</v>
      </c>
      <c r="G601" s="352" t="s">
        <v>292</v>
      </c>
      <c r="H601" s="353"/>
      <c r="I601" s="354"/>
    </row>
    <row r="602" spans="2:11" ht="13.5" thickBot="1" x14ac:dyDescent="0.25">
      <c r="B602" s="158">
        <v>1</v>
      </c>
      <c r="C602" s="144">
        <v>2.5</v>
      </c>
      <c r="D602" s="144">
        <v>2</v>
      </c>
      <c r="E602" s="144">
        <v>2.56</v>
      </c>
      <c r="F602" s="144">
        <f t="shared" si="35"/>
        <v>2.44</v>
      </c>
      <c r="G602" s="352" t="s">
        <v>335</v>
      </c>
      <c r="H602" s="353"/>
      <c r="I602" s="354"/>
      <c r="J602" s="156">
        <f>SUM(F594:F602)</f>
        <v>38.100999999999999</v>
      </c>
      <c r="K602" s="143" t="s">
        <v>357</v>
      </c>
    </row>
    <row r="603" spans="2:11" ht="13.5" thickBot="1" x14ac:dyDescent="0.25"/>
    <row r="604" spans="2:11" ht="13.5" thickBot="1" x14ac:dyDescent="0.25">
      <c r="B604" s="345" t="s">
        <v>0</v>
      </c>
      <c r="C604" s="345" t="s">
        <v>9</v>
      </c>
      <c r="D604" s="345" t="s">
        <v>1</v>
      </c>
      <c r="E604" s="345" t="s">
        <v>189</v>
      </c>
      <c r="F604" s="345" t="s">
        <v>8</v>
      </c>
      <c r="G604" s="143"/>
      <c r="H604" s="143"/>
      <c r="I604" s="143"/>
    </row>
    <row r="605" spans="2:11" ht="13.5" thickBot="1" x14ac:dyDescent="0.25">
      <c r="B605" s="345"/>
      <c r="C605" s="345"/>
      <c r="D605" s="345"/>
      <c r="E605" s="345"/>
      <c r="F605" s="345"/>
      <c r="G605" s="143"/>
      <c r="H605" s="143"/>
      <c r="I605" s="143"/>
    </row>
    <row r="606" spans="2:11" ht="24.75" thickBot="1" x14ac:dyDescent="0.25">
      <c r="B606" s="140" t="s">
        <v>63</v>
      </c>
      <c r="C606" s="211">
        <v>93200</v>
      </c>
      <c r="D606" s="135" t="s">
        <v>479</v>
      </c>
      <c r="E606" s="133" t="s">
        <v>12</v>
      </c>
      <c r="F606" s="134">
        <f>SUM(D608:D615)</f>
        <v>18</v>
      </c>
      <c r="G606" s="143"/>
      <c r="H606" s="143"/>
      <c r="I606" s="143"/>
    </row>
    <row r="607" spans="2:11" ht="13.5" thickBot="1" x14ac:dyDescent="0.25">
      <c r="B607" s="148" t="s">
        <v>234</v>
      </c>
      <c r="C607" s="162"/>
      <c r="D607" s="162" t="s">
        <v>255</v>
      </c>
      <c r="E607" s="162"/>
      <c r="F607" s="162"/>
      <c r="G607" s="361" t="s">
        <v>235</v>
      </c>
      <c r="H607" s="362"/>
      <c r="I607" s="363"/>
    </row>
    <row r="608" spans="2:11" ht="13.5" thickBot="1" x14ac:dyDescent="0.25">
      <c r="B608" s="158">
        <v>1</v>
      </c>
      <c r="C608" s="144"/>
      <c r="D608" s="144">
        <v>3.55</v>
      </c>
      <c r="E608" s="144"/>
      <c r="F608" s="144"/>
      <c r="G608" s="352" t="s">
        <v>285</v>
      </c>
      <c r="H608" s="353"/>
      <c r="I608" s="354"/>
    </row>
    <row r="609" spans="2:11" ht="13.5" thickBot="1" x14ac:dyDescent="0.25">
      <c r="B609" s="158">
        <v>1</v>
      </c>
      <c r="C609" s="144"/>
      <c r="D609" s="144">
        <v>3.55</v>
      </c>
      <c r="E609" s="144"/>
      <c r="F609" s="144"/>
      <c r="G609" s="352" t="s">
        <v>286</v>
      </c>
      <c r="H609" s="353"/>
      <c r="I609" s="354"/>
    </row>
    <row r="610" spans="2:11" ht="13.5" thickBot="1" x14ac:dyDescent="0.25">
      <c r="B610" s="158">
        <v>1</v>
      </c>
      <c r="C610" s="144"/>
      <c r="D610" s="144">
        <v>2.25</v>
      </c>
      <c r="E610" s="144"/>
      <c r="F610" s="144"/>
      <c r="G610" s="352" t="s">
        <v>287</v>
      </c>
      <c r="H610" s="353"/>
      <c r="I610" s="354"/>
    </row>
    <row r="611" spans="2:11" ht="13.5" thickBot="1" x14ac:dyDescent="0.25">
      <c r="B611" s="158">
        <v>1</v>
      </c>
      <c r="C611" s="144"/>
      <c r="D611" s="144">
        <v>1.5</v>
      </c>
      <c r="E611" s="144"/>
      <c r="F611" s="144"/>
      <c r="G611" s="352" t="s">
        <v>288</v>
      </c>
      <c r="H611" s="353"/>
      <c r="I611" s="354"/>
    </row>
    <row r="612" spans="2:11" ht="13.5" thickBot="1" x14ac:dyDescent="0.25">
      <c r="B612" s="158">
        <v>1</v>
      </c>
      <c r="C612" s="144"/>
      <c r="D612" s="144">
        <v>2.25</v>
      </c>
      <c r="E612" s="144"/>
      <c r="F612" s="144"/>
      <c r="G612" s="352" t="s">
        <v>289</v>
      </c>
      <c r="H612" s="353"/>
      <c r="I612" s="354"/>
    </row>
    <row r="613" spans="2:11" ht="13.5" thickBot="1" x14ac:dyDescent="0.25">
      <c r="B613" s="158">
        <v>1</v>
      </c>
      <c r="C613" s="144"/>
      <c r="D613" s="144">
        <v>0.9</v>
      </c>
      <c r="E613" s="144"/>
      <c r="F613" s="144"/>
      <c r="G613" s="352" t="s">
        <v>290</v>
      </c>
      <c r="H613" s="353"/>
      <c r="I613" s="354"/>
    </row>
    <row r="614" spans="2:11" ht="13.5" thickBot="1" x14ac:dyDescent="0.25">
      <c r="B614" s="158">
        <v>1</v>
      </c>
      <c r="C614" s="144"/>
      <c r="D614" s="144">
        <v>2</v>
      </c>
      <c r="E614" s="144"/>
      <c r="F614" s="144"/>
      <c r="G614" s="352" t="s">
        <v>291</v>
      </c>
      <c r="H614" s="353"/>
      <c r="I614" s="354"/>
    </row>
    <row r="615" spans="2:11" ht="13.5" thickBot="1" x14ac:dyDescent="0.25">
      <c r="B615" s="158">
        <v>1</v>
      </c>
      <c r="C615" s="144"/>
      <c r="D615" s="144">
        <v>2</v>
      </c>
      <c r="E615" s="144"/>
      <c r="F615" s="144"/>
      <c r="G615" s="352" t="s">
        <v>292</v>
      </c>
      <c r="H615" s="353"/>
      <c r="I615" s="354"/>
    </row>
    <row r="616" spans="2:11" ht="13.5" thickBot="1" x14ac:dyDescent="0.25"/>
    <row r="617" spans="2:11" ht="13.5" thickBot="1" x14ac:dyDescent="0.25">
      <c r="B617" s="345" t="s">
        <v>0</v>
      </c>
      <c r="C617" s="345" t="s">
        <v>9</v>
      </c>
      <c r="D617" s="345" t="s">
        <v>1</v>
      </c>
      <c r="E617" s="345" t="s">
        <v>189</v>
      </c>
      <c r="F617" s="345" t="s">
        <v>8</v>
      </c>
      <c r="G617" s="143"/>
      <c r="H617" s="143"/>
      <c r="I617" s="143"/>
    </row>
    <row r="618" spans="2:11" ht="13.5" thickBot="1" x14ac:dyDescent="0.25">
      <c r="B618" s="345"/>
      <c r="C618" s="345"/>
      <c r="D618" s="345"/>
      <c r="E618" s="345"/>
      <c r="F618" s="345"/>
      <c r="G618" s="143"/>
      <c r="H618" s="143"/>
      <c r="I618" s="143"/>
    </row>
    <row r="619" spans="2:11" ht="36.75" thickBot="1" x14ac:dyDescent="0.25">
      <c r="B619" s="140" t="s">
        <v>107</v>
      </c>
      <c r="C619" s="211" t="s">
        <v>728</v>
      </c>
      <c r="D619" s="135" t="s">
        <v>169</v>
      </c>
      <c r="E619" s="133" t="s">
        <v>10</v>
      </c>
      <c r="F619" s="134">
        <f>SUM(F621:F624)</f>
        <v>5.120000000000001</v>
      </c>
      <c r="G619" s="143"/>
      <c r="H619" s="143"/>
      <c r="I619" s="143"/>
    </row>
    <row r="620" spans="2:11" ht="24.75" thickBot="1" x14ac:dyDescent="0.25">
      <c r="B620" s="148" t="s">
        <v>234</v>
      </c>
      <c r="C620" s="148" t="s">
        <v>314</v>
      </c>
      <c r="D620" s="148" t="s">
        <v>255</v>
      </c>
      <c r="E620" s="148" t="s">
        <v>360</v>
      </c>
      <c r="F620" s="148" t="s">
        <v>300</v>
      </c>
      <c r="G620" s="349" t="s">
        <v>235</v>
      </c>
      <c r="H620" s="351"/>
      <c r="I620" s="350"/>
    </row>
    <row r="621" spans="2:11" ht="13.5" thickBot="1" x14ac:dyDescent="0.25">
      <c r="B621" s="144">
        <v>2</v>
      </c>
      <c r="C621" s="144">
        <v>1.6</v>
      </c>
      <c r="D621" s="144">
        <v>1.6</v>
      </c>
      <c r="E621" s="144"/>
      <c r="F621" s="144">
        <f>C621*D621*B621</f>
        <v>5.120000000000001</v>
      </c>
      <c r="G621" s="352" t="s">
        <v>361</v>
      </c>
      <c r="H621" s="353"/>
      <c r="I621" s="354"/>
      <c r="K621" s="143" t="s">
        <v>357</v>
      </c>
    </row>
    <row r="622" spans="2:11" ht="13.5" thickBot="1" x14ac:dyDescent="0.25"/>
    <row r="623" spans="2:11" ht="13.5" thickBot="1" x14ac:dyDescent="0.25">
      <c r="B623" s="345" t="s">
        <v>0</v>
      </c>
      <c r="C623" s="345" t="s">
        <v>9</v>
      </c>
      <c r="D623" s="345" t="s">
        <v>1</v>
      </c>
      <c r="E623" s="345" t="s">
        <v>189</v>
      </c>
      <c r="F623" s="345" t="s">
        <v>8</v>
      </c>
      <c r="G623" s="143"/>
      <c r="H623" s="143"/>
      <c r="I623" s="143"/>
    </row>
    <row r="624" spans="2:11" ht="13.5" thickBot="1" x14ac:dyDescent="0.25">
      <c r="B624" s="345"/>
      <c r="C624" s="345"/>
      <c r="D624" s="345"/>
      <c r="E624" s="345"/>
      <c r="F624" s="345"/>
      <c r="G624" s="143"/>
      <c r="H624" s="143"/>
      <c r="I624" s="143"/>
    </row>
    <row r="625" spans="2:11" ht="60.75" thickBot="1" x14ac:dyDescent="0.25">
      <c r="B625" s="140" t="s">
        <v>385</v>
      </c>
      <c r="C625" s="262" t="s">
        <v>603</v>
      </c>
      <c r="D625" s="135" t="s">
        <v>661</v>
      </c>
      <c r="E625" s="133" t="s">
        <v>12</v>
      </c>
      <c r="F625" s="134">
        <f>SUM(F627:F630)</f>
        <v>16</v>
      </c>
      <c r="G625" s="143"/>
      <c r="H625" s="143"/>
      <c r="I625" s="143"/>
    </row>
    <row r="626" spans="2:11" ht="13.5" thickBot="1" x14ac:dyDescent="0.25">
      <c r="B626" s="148" t="s">
        <v>234</v>
      </c>
      <c r="C626" s="148" t="s">
        <v>314</v>
      </c>
      <c r="D626" s="148" t="s">
        <v>255</v>
      </c>
      <c r="E626" s="148"/>
      <c r="F626" s="148" t="s">
        <v>317</v>
      </c>
      <c r="G626" s="349" t="s">
        <v>235</v>
      </c>
      <c r="H626" s="351"/>
      <c r="I626" s="350"/>
    </row>
    <row r="627" spans="2:11" ht="13.5" thickBot="1" x14ac:dyDescent="0.25">
      <c r="B627" s="144">
        <v>1</v>
      </c>
      <c r="C627" s="144">
        <v>0.5</v>
      </c>
      <c r="D627" s="144">
        <v>12</v>
      </c>
      <c r="E627" s="144"/>
      <c r="F627" s="144">
        <f>B627*C627*D627</f>
        <v>6</v>
      </c>
      <c r="G627" s="352" t="s">
        <v>386</v>
      </c>
      <c r="H627" s="353"/>
      <c r="I627" s="354"/>
    </row>
    <row r="628" spans="2:11" ht="13.5" thickBot="1" x14ac:dyDescent="0.25">
      <c r="B628" s="144">
        <v>1</v>
      </c>
      <c r="C628" s="261">
        <v>0.5</v>
      </c>
      <c r="D628" s="144">
        <v>12</v>
      </c>
      <c r="E628" s="144"/>
      <c r="F628" s="261">
        <f>B628*C628*D628</f>
        <v>6</v>
      </c>
      <c r="G628" s="352" t="s">
        <v>387</v>
      </c>
      <c r="H628" s="353"/>
      <c r="I628" s="354"/>
    </row>
    <row r="629" spans="2:11" ht="13.5" thickBot="1" x14ac:dyDescent="0.25">
      <c r="B629" s="144">
        <v>1</v>
      </c>
      <c r="C629" s="261">
        <v>0.5</v>
      </c>
      <c r="D629" s="144">
        <v>4</v>
      </c>
      <c r="E629" s="144"/>
      <c r="F629" s="261">
        <f>B629*C629*D629</f>
        <v>2</v>
      </c>
      <c r="G629" s="352" t="s">
        <v>388</v>
      </c>
      <c r="H629" s="353"/>
      <c r="I629" s="354"/>
    </row>
    <row r="630" spans="2:11" ht="13.5" thickBot="1" x14ac:dyDescent="0.25">
      <c r="B630" s="144">
        <v>1</v>
      </c>
      <c r="C630" s="261">
        <v>0.5</v>
      </c>
      <c r="D630" s="144">
        <v>4</v>
      </c>
      <c r="E630" s="144"/>
      <c r="F630" s="261">
        <f>B630*C630*D630</f>
        <v>2</v>
      </c>
      <c r="G630" s="352" t="s">
        <v>389</v>
      </c>
      <c r="H630" s="353"/>
      <c r="I630" s="354"/>
      <c r="K630" s="143" t="s">
        <v>390</v>
      </c>
    </row>
    <row r="632" spans="2:11" ht="13.5" thickBot="1" x14ac:dyDescent="0.25"/>
    <row r="633" spans="2:11" ht="15.75" thickBot="1" x14ac:dyDescent="0.25">
      <c r="B633" s="145">
        <v>6</v>
      </c>
      <c r="C633" s="384" t="s">
        <v>59</v>
      </c>
      <c r="D633" s="384"/>
      <c r="E633" s="384"/>
      <c r="F633" s="384"/>
      <c r="G633" s="384"/>
      <c r="H633" s="384"/>
      <c r="I633" s="384"/>
    </row>
    <row r="635" spans="2:11" ht="13.5" thickBot="1" x14ac:dyDescent="0.25"/>
    <row r="636" spans="2:11" ht="13.5" thickBot="1" x14ac:dyDescent="0.25">
      <c r="B636" s="345" t="s">
        <v>0</v>
      </c>
      <c r="C636" s="345" t="s">
        <v>9</v>
      </c>
      <c r="D636" s="345" t="s">
        <v>1</v>
      </c>
      <c r="E636" s="345" t="s">
        <v>189</v>
      </c>
      <c r="F636" s="345" t="s">
        <v>8</v>
      </c>
      <c r="G636" s="143"/>
      <c r="H636" s="143"/>
      <c r="I636" s="143"/>
    </row>
    <row r="637" spans="2:11" ht="13.5" thickBot="1" x14ac:dyDescent="0.25">
      <c r="B637" s="345"/>
      <c r="C637" s="345"/>
      <c r="D637" s="345"/>
      <c r="E637" s="345"/>
      <c r="F637" s="345"/>
      <c r="G637" s="143"/>
      <c r="H637" s="143"/>
      <c r="I637" s="143"/>
    </row>
    <row r="638" spans="2:11" ht="36.75" thickBot="1" x14ac:dyDescent="0.25">
      <c r="B638" s="140" t="s">
        <v>40</v>
      </c>
      <c r="C638" s="211">
        <v>7727</v>
      </c>
      <c r="D638" s="135" t="s">
        <v>620</v>
      </c>
      <c r="E638" s="133" t="s">
        <v>10</v>
      </c>
      <c r="F638" s="134">
        <f>SUM(F640:F641)</f>
        <v>13.74</v>
      </c>
      <c r="G638" s="143"/>
      <c r="H638" s="143"/>
      <c r="I638" s="143"/>
    </row>
    <row r="639" spans="2:11" ht="13.5" customHeight="1" thickBot="1" x14ac:dyDescent="0.25">
      <c r="B639" s="148" t="s">
        <v>234</v>
      </c>
      <c r="C639" s="136" t="s">
        <v>480</v>
      </c>
      <c r="D639" s="136" t="s">
        <v>255</v>
      </c>
      <c r="E639" s="136" t="s">
        <v>315</v>
      </c>
      <c r="F639" s="136" t="s">
        <v>300</v>
      </c>
      <c r="G639" s="375" t="s">
        <v>235</v>
      </c>
      <c r="H639" s="376"/>
      <c r="I639" s="377"/>
      <c r="K639" s="181"/>
    </row>
    <row r="640" spans="2:11" ht="13.5" customHeight="1" thickBot="1" x14ac:dyDescent="0.25">
      <c r="B640" s="167">
        <v>1</v>
      </c>
      <c r="C640" s="162"/>
      <c r="D640" s="163">
        <v>1.2</v>
      </c>
      <c r="E640" s="162">
        <v>2.25</v>
      </c>
      <c r="F640" s="162">
        <f>B640*D640*E640</f>
        <v>2.6999999999999997</v>
      </c>
      <c r="G640" s="361"/>
      <c r="H640" s="362"/>
      <c r="I640" s="363"/>
      <c r="K640" s="142"/>
    </row>
    <row r="641" spans="2:11" ht="13.5" customHeight="1" thickBot="1" x14ac:dyDescent="0.25">
      <c r="B641" s="167">
        <v>1</v>
      </c>
      <c r="C641" s="210">
        <v>1.6</v>
      </c>
      <c r="D641" s="163">
        <v>1.2</v>
      </c>
      <c r="E641" s="210">
        <v>2.25</v>
      </c>
      <c r="F641" s="210">
        <f>C641*(D641+E641+D641+E641)</f>
        <v>11.040000000000001</v>
      </c>
      <c r="G641" s="361"/>
      <c r="H641" s="362"/>
      <c r="I641" s="363"/>
      <c r="K641" s="142"/>
    </row>
    <row r="642" spans="2:11" ht="13.5" thickBot="1" x14ac:dyDescent="0.25"/>
    <row r="643" spans="2:11" ht="13.5" thickBot="1" x14ac:dyDescent="0.25">
      <c r="B643" s="345" t="s">
        <v>0</v>
      </c>
      <c r="C643" s="345" t="s">
        <v>9</v>
      </c>
      <c r="D643" s="345" t="s">
        <v>1</v>
      </c>
      <c r="E643" s="345" t="s">
        <v>189</v>
      </c>
      <c r="F643" s="345" t="s">
        <v>8</v>
      </c>
      <c r="G643" s="143"/>
      <c r="H643" s="143"/>
      <c r="I643" s="143"/>
    </row>
    <row r="644" spans="2:11" ht="13.5" thickBot="1" x14ac:dyDescent="0.25">
      <c r="B644" s="345"/>
      <c r="C644" s="345"/>
      <c r="D644" s="345"/>
      <c r="E644" s="345"/>
      <c r="F644" s="345"/>
      <c r="G644" s="143"/>
      <c r="H644" s="143"/>
      <c r="I644" s="143"/>
    </row>
    <row r="645" spans="2:11" ht="24.75" thickBot="1" x14ac:dyDescent="0.25">
      <c r="B645" s="140" t="s">
        <v>51</v>
      </c>
      <c r="C645" s="268" t="s">
        <v>482</v>
      </c>
      <c r="D645" s="135" t="s">
        <v>481</v>
      </c>
      <c r="E645" s="133" t="s">
        <v>10</v>
      </c>
      <c r="F645" s="134">
        <f>SUM(F647:F657)</f>
        <v>15.959999999999996</v>
      </c>
      <c r="G645" s="143"/>
      <c r="H645" s="143"/>
      <c r="I645" s="143"/>
    </row>
    <row r="646" spans="2:11" ht="13.5" customHeight="1" thickBot="1" x14ac:dyDescent="0.25">
      <c r="B646" s="148" t="s">
        <v>234</v>
      </c>
      <c r="C646" s="136" t="s">
        <v>338</v>
      </c>
      <c r="D646" s="136" t="s">
        <v>255</v>
      </c>
      <c r="E646" s="136" t="s">
        <v>315</v>
      </c>
      <c r="F646" s="136" t="s">
        <v>300</v>
      </c>
      <c r="G646" s="375" t="s">
        <v>235</v>
      </c>
      <c r="H646" s="376"/>
      <c r="I646" s="377"/>
    </row>
    <row r="647" spans="2:11" ht="13.5" thickBot="1" x14ac:dyDescent="0.25">
      <c r="B647" s="167">
        <v>1</v>
      </c>
      <c r="C647" s="162">
        <v>1</v>
      </c>
      <c r="D647" s="163">
        <v>1.6</v>
      </c>
      <c r="E647" s="162">
        <v>0.3</v>
      </c>
      <c r="F647" s="162">
        <f>(D647*E647)*2</f>
        <v>0.96</v>
      </c>
      <c r="G647" s="361" t="s">
        <v>285</v>
      </c>
      <c r="H647" s="362"/>
      <c r="I647" s="363"/>
    </row>
    <row r="648" spans="2:11" ht="13.5" thickBot="1" x14ac:dyDescent="0.25">
      <c r="B648" s="167">
        <v>1</v>
      </c>
      <c r="C648" s="162">
        <v>1</v>
      </c>
      <c r="D648" s="163">
        <v>3.3</v>
      </c>
      <c r="E648" s="162">
        <v>0.3</v>
      </c>
      <c r="F648" s="162">
        <f t="shared" ref="F648:F657" si="36">(D648*E648)*2</f>
        <v>1.9799999999999998</v>
      </c>
      <c r="G648" s="361" t="s">
        <v>286</v>
      </c>
      <c r="H648" s="362"/>
      <c r="I648" s="363"/>
    </row>
    <row r="649" spans="2:11" ht="13.5" thickBot="1" x14ac:dyDescent="0.25">
      <c r="B649" s="167">
        <v>1</v>
      </c>
      <c r="C649" s="162">
        <v>1</v>
      </c>
      <c r="D649" s="163">
        <v>1.6</v>
      </c>
      <c r="E649" s="162">
        <v>0.3</v>
      </c>
      <c r="F649" s="162">
        <f t="shared" si="36"/>
        <v>0.96</v>
      </c>
      <c r="G649" s="361" t="s">
        <v>287</v>
      </c>
      <c r="H649" s="362"/>
      <c r="I649" s="363"/>
    </row>
    <row r="650" spans="2:11" ht="13.5" thickBot="1" x14ac:dyDescent="0.25">
      <c r="B650" s="167">
        <v>1</v>
      </c>
      <c r="C650" s="162">
        <v>1</v>
      </c>
      <c r="D650" s="163">
        <v>1.6</v>
      </c>
      <c r="E650" s="162">
        <v>0.3</v>
      </c>
      <c r="F650" s="162">
        <f t="shared" si="36"/>
        <v>0.96</v>
      </c>
      <c r="G650" s="361" t="s">
        <v>288</v>
      </c>
      <c r="H650" s="362"/>
      <c r="I650" s="363"/>
    </row>
    <row r="651" spans="2:11" ht="13.5" thickBot="1" x14ac:dyDescent="0.25">
      <c r="B651" s="167">
        <v>1</v>
      </c>
      <c r="C651" s="162">
        <v>1</v>
      </c>
      <c r="D651" s="163">
        <v>3.3</v>
      </c>
      <c r="E651" s="162">
        <v>0.3</v>
      </c>
      <c r="F651" s="162">
        <f t="shared" si="36"/>
        <v>1.9799999999999998</v>
      </c>
      <c r="G651" s="361" t="s">
        <v>289</v>
      </c>
      <c r="H651" s="362"/>
      <c r="I651" s="363"/>
    </row>
    <row r="652" spans="2:11" ht="13.5" thickBot="1" x14ac:dyDescent="0.25">
      <c r="B652" s="167">
        <v>1</v>
      </c>
      <c r="C652" s="162">
        <v>1</v>
      </c>
      <c r="D652" s="163">
        <v>1.6</v>
      </c>
      <c r="E652" s="162">
        <v>0.3</v>
      </c>
      <c r="F652" s="162">
        <f t="shared" si="36"/>
        <v>0.96</v>
      </c>
      <c r="G652" s="361" t="s">
        <v>290</v>
      </c>
      <c r="H652" s="362"/>
      <c r="I652" s="363"/>
    </row>
    <row r="653" spans="2:11" ht="13.5" thickBot="1" x14ac:dyDescent="0.25">
      <c r="B653" s="167">
        <v>1</v>
      </c>
      <c r="C653" s="162">
        <v>1</v>
      </c>
      <c r="D653" s="163">
        <v>2</v>
      </c>
      <c r="E653" s="162">
        <v>0.3</v>
      </c>
      <c r="F653" s="162">
        <f t="shared" si="36"/>
        <v>1.2</v>
      </c>
      <c r="G653" s="361" t="s">
        <v>291</v>
      </c>
      <c r="H653" s="362"/>
      <c r="I653" s="363"/>
    </row>
    <row r="654" spans="2:11" ht="13.5" thickBot="1" x14ac:dyDescent="0.25">
      <c r="B654" s="167">
        <v>1</v>
      </c>
      <c r="C654" s="162">
        <v>1</v>
      </c>
      <c r="D654" s="163">
        <v>2</v>
      </c>
      <c r="E654" s="162">
        <v>0.3</v>
      </c>
      <c r="F654" s="162">
        <f t="shared" si="36"/>
        <v>1.2</v>
      </c>
      <c r="G654" s="361" t="s">
        <v>292</v>
      </c>
      <c r="H654" s="362"/>
      <c r="I654" s="363"/>
    </row>
    <row r="655" spans="2:11" ht="13.5" thickBot="1" x14ac:dyDescent="0.25">
      <c r="B655" s="167">
        <v>1</v>
      </c>
      <c r="C655" s="162">
        <v>1</v>
      </c>
      <c r="D655" s="163">
        <v>5.6</v>
      </c>
      <c r="E655" s="162">
        <v>0.3</v>
      </c>
      <c r="F655" s="162">
        <f t="shared" si="36"/>
        <v>3.36</v>
      </c>
      <c r="G655" s="361" t="s">
        <v>335</v>
      </c>
      <c r="H655" s="362"/>
      <c r="I655" s="363"/>
    </row>
    <row r="656" spans="2:11" ht="13.5" thickBot="1" x14ac:dyDescent="0.25">
      <c r="B656" s="167">
        <v>1</v>
      </c>
      <c r="C656" s="162">
        <v>1</v>
      </c>
      <c r="D656" s="163">
        <v>2</v>
      </c>
      <c r="E656" s="162">
        <v>0.3</v>
      </c>
      <c r="F656" s="162">
        <f t="shared" si="36"/>
        <v>1.2</v>
      </c>
      <c r="G656" s="361" t="s">
        <v>336</v>
      </c>
      <c r="H656" s="362"/>
      <c r="I656" s="363"/>
    </row>
    <row r="657" spans="2:9" ht="13.5" thickBot="1" x14ac:dyDescent="0.25">
      <c r="B657" s="167">
        <v>1</v>
      </c>
      <c r="C657" s="162">
        <v>1</v>
      </c>
      <c r="D657" s="163">
        <v>2</v>
      </c>
      <c r="E657" s="162">
        <v>0.3</v>
      </c>
      <c r="F657" s="162">
        <f t="shared" si="36"/>
        <v>1.2</v>
      </c>
      <c r="G657" s="361" t="s">
        <v>337</v>
      </c>
      <c r="H657" s="362"/>
      <c r="I657" s="363"/>
    </row>
    <row r="658" spans="2:9" ht="13.5" thickBot="1" x14ac:dyDescent="0.25"/>
    <row r="659" spans="2:9" ht="13.5" thickBot="1" x14ac:dyDescent="0.25">
      <c r="B659" s="345" t="s">
        <v>0</v>
      </c>
      <c r="C659" s="345" t="s">
        <v>9</v>
      </c>
      <c r="D659" s="345" t="s">
        <v>1</v>
      </c>
      <c r="E659" s="345" t="s">
        <v>189</v>
      </c>
      <c r="F659" s="345" t="s">
        <v>8</v>
      </c>
      <c r="G659" s="143"/>
      <c r="H659" s="143"/>
      <c r="I659" s="143"/>
    </row>
    <row r="660" spans="2:9" ht="13.5" thickBot="1" x14ac:dyDescent="0.25">
      <c r="B660" s="345"/>
      <c r="C660" s="345"/>
      <c r="D660" s="345"/>
      <c r="E660" s="345"/>
      <c r="F660" s="345"/>
      <c r="G660" s="143"/>
      <c r="H660" s="143"/>
      <c r="I660" s="143"/>
    </row>
    <row r="661" spans="2:9" ht="24.75" thickBot="1" x14ac:dyDescent="0.25">
      <c r="B661" s="140" t="s">
        <v>248</v>
      </c>
      <c r="C661" s="262">
        <v>83737</v>
      </c>
      <c r="D661" s="135" t="s">
        <v>621</v>
      </c>
      <c r="E661" s="133" t="s">
        <v>10</v>
      </c>
      <c r="F661" s="134">
        <f>SUM(F663:F666)</f>
        <v>27.206800000000001</v>
      </c>
      <c r="G661" s="143"/>
      <c r="H661" s="143"/>
      <c r="I661" s="143"/>
    </row>
    <row r="662" spans="2:9" ht="13.5" thickBot="1" x14ac:dyDescent="0.25">
      <c r="B662" s="148" t="s">
        <v>234</v>
      </c>
      <c r="C662" s="136" t="s">
        <v>338</v>
      </c>
      <c r="D662" s="136" t="s">
        <v>255</v>
      </c>
      <c r="E662" s="136" t="s">
        <v>315</v>
      </c>
      <c r="F662" s="136" t="s">
        <v>300</v>
      </c>
      <c r="G662" s="375" t="s">
        <v>235</v>
      </c>
      <c r="H662" s="376"/>
      <c r="I662" s="377"/>
    </row>
    <row r="663" spans="2:9" ht="13.5" thickBot="1" x14ac:dyDescent="0.25">
      <c r="B663" s="167">
        <v>1</v>
      </c>
      <c r="C663" s="162"/>
      <c r="D663" s="163">
        <v>2.6</v>
      </c>
      <c r="E663" s="162">
        <v>1.9</v>
      </c>
      <c r="F663" s="162">
        <f>B663*D663*E663</f>
        <v>4.9399999999999995</v>
      </c>
      <c r="G663" s="361" t="s">
        <v>295</v>
      </c>
      <c r="H663" s="362"/>
      <c r="I663" s="363"/>
    </row>
    <row r="664" spans="2:9" ht="13.5" thickBot="1" x14ac:dyDescent="0.25">
      <c r="B664" s="167">
        <v>1</v>
      </c>
      <c r="C664" s="162"/>
      <c r="D664" s="163">
        <v>3.6</v>
      </c>
      <c r="E664" s="162">
        <v>3.4</v>
      </c>
      <c r="F664" s="162">
        <f>B664*D664*E664</f>
        <v>12.24</v>
      </c>
      <c r="G664" s="361" t="s">
        <v>296</v>
      </c>
      <c r="H664" s="362"/>
      <c r="I664" s="363"/>
    </row>
    <row r="665" spans="2:9" ht="13.5" thickBot="1" x14ac:dyDescent="0.25">
      <c r="B665" s="167">
        <v>1</v>
      </c>
      <c r="C665" s="162" t="s">
        <v>441</v>
      </c>
      <c r="D665" s="163">
        <v>1.8</v>
      </c>
      <c r="E665" s="162"/>
      <c r="F665" s="163">
        <f>(3.14*(D665^2))/2</f>
        <v>5.0868000000000002</v>
      </c>
      <c r="G665" s="361" t="s">
        <v>296</v>
      </c>
      <c r="H665" s="362"/>
      <c r="I665" s="363"/>
    </row>
    <row r="666" spans="2:9" ht="13.5" thickBot="1" x14ac:dyDescent="0.25">
      <c r="B666" s="167">
        <v>1</v>
      </c>
      <c r="C666" s="162"/>
      <c r="D666" s="163">
        <v>2.6</v>
      </c>
      <c r="E666" s="162">
        <v>1.9</v>
      </c>
      <c r="F666" s="162">
        <f>B666*D666*E666</f>
        <v>4.9399999999999995</v>
      </c>
      <c r="G666" s="361" t="s">
        <v>301</v>
      </c>
      <c r="H666" s="362"/>
      <c r="I666" s="363"/>
    </row>
    <row r="667" spans="2:9" ht="13.5" thickBot="1" x14ac:dyDescent="0.25"/>
    <row r="668" spans="2:9" ht="13.5" thickBot="1" x14ac:dyDescent="0.25">
      <c r="B668" s="345" t="s">
        <v>0</v>
      </c>
      <c r="C668" s="345" t="s">
        <v>9</v>
      </c>
      <c r="D668" s="345" t="s">
        <v>1</v>
      </c>
      <c r="E668" s="345" t="s">
        <v>189</v>
      </c>
      <c r="F668" s="345" t="s">
        <v>8</v>
      </c>
      <c r="G668" s="143"/>
      <c r="H668" s="143"/>
      <c r="I668" s="143"/>
    </row>
    <row r="669" spans="2:9" ht="13.5" thickBot="1" x14ac:dyDescent="0.25">
      <c r="B669" s="345"/>
      <c r="C669" s="345"/>
      <c r="D669" s="345"/>
      <c r="E669" s="345"/>
      <c r="F669" s="345"/>
      <c r="G669" s="143"/>
      <c r="H669" s="143"/>
      <c r="I669" s="143"/>
    </row>
    <row r="670" spans="2:9" ht="33" customHeight="1" thickBot="1" x14ac:dyDescent="0.25">
      <c r="B670" s="140" t="s">
        <v>622</v>
      </c>
      <c r="C670" s="268" t="s">
        <v>623</v>
      </c>
      <c r="D670" s="135" t="s">
        <v>624</v>
      </c>
      <c r="E670" s="133" t="s">
        <v>10</v>
      </c>
      <c r="F670" s="134">
        <f>SUM(F672:F675)*0.03</f>
        <v>0.81620400000000004</v>
      </c>
      <c r="G670" s="143"/>
      <c r="H670" s="143"/>
      <c r="I670" s="143"/>
    </row>
    <row r="671" spans="2:9" ht="13.5" thickBot="1" x14ac:dyDescent="0.25">
      <c r="B671" s="268" t="s">
        <v>234</v>
      </c>
      <c r="C671" s="136" t="s">
        <v>338</v>
      </c>
      <c r="D671" s="136" t="s">
        <v>255</v>
      </c>
      <c r="E671" s="136" t="s">
        <v>315</v>
      </c>
      <c r="F671" s="136" t="s">
        <v>300</v>
      </c>
      <c r="G671" s="375" t="s">
        <v>235</v>
      </c>
      <c r="H671" s="376"/>
      <c r="I671" s="377"/>
    </row>
    <row r="672" spans="2:9" ht="13.5" thickBot="1" x14ac:dyDescent="0.25">
      <c r="B672" s="167">
        <v>1</v>
      </c>
      <c r="C672" s="263"/>
      <c r="D672" s="163">
        <v>2.6</v>
      </c>
      <c r="E672" s="263">
        <v>1.9</v>
      </c>
      <c r="F672" s="263">
        <f>B672*D672*E672</f>
        <v>4.9399999999999995</v>
      </c>
      <c r="G672" s="361" t="s">
        <v>295</v>
      </c>
      <c r="H672" s="362"/>
      <c r="I672" s="363"/>
    </row>
    <row r="673" spans="2:11" ht="13.5" thickBot="1" x14ac:dyDescent="0.25">
      <c r="B673" s="167">
        <v>1</v>
      </c>
      <c r="C673" s="263"/>
      <c r="D673" s="163">
        <v>3.6</v>
      </c>
      <c r="E673" s="263">
        <v>3.4</v>
      </c>
      <c r="F673" s="263">
        <f>B673*D673*E673</f>
        <v>12.24</v>
      </c>
      <c r="G673" s="361" t="s">
        <v>296</v>
      </c>
      <c r="H673" s="362"/>
      <c r="I673" s="363"/>
    </row>
    <row r="674" spans="2:11" ht="13.5" thickBot="1" x14ac:dyDescent="0.25">
      <c r="B674" s="167">
        <v>1</v>
      </c>
      <c r="C674" s="263" t="s">
        <v>441</v>
      </c>
      <c r="D674" s="163">
        <v>1.8</v>
      </c>
      <c r="E674" s="263"/>
      <c r="F674" s="163">
        <f>(3.14*(D674^2))/2</f>
        <v>5.0868000000000002</v>
      </c>
      <c r="G674" s="361" t="s">
        <v>296</v>
      </c>
      <c r="H674" s="362"/>
      <c r="I674" s="363"/>
    </row>
    <row r="675" spans="2:11" ht="13.5" thickBot="1" x14ac:dyDescent="0.25">
      <c r="B675" s="167">
        <v>1</v>
      </c>
      <c r="C675" s="263"/>
      <c r="D675" s="163">
        <v>2.6</v>
      </c>
      <c r="E675" s="263">
        <v>1.9</v>
      </c>
      <c r="F675" s="263">
        <f>B675*D675*E675</f>
        <v>4.9399999999999995</v>
      </c>
      <c r="G675" s="361" t="s">
        <v>301</v>
      </c>
      <c r="H675" s="362"/>
      <c r="I675" s="363"/>
    </row>
    <row r="677" spans="2:11" ht="13.5" thickBot="1" x14ac:dyDescent="0.25"/>
    <row r="678" spans="2:11" ht="15.75" thickBot="1" x14ac:dyDescent="0.25">
      <c r="B678" s="145">
        <v>7</v>
      </c>
      <c r="C678" s="384" t="s">
        <v>65</v>
      </c>
      <c r="D678" s="384"/>
      <c r="E678" s="384"/>
      <c r="F678" s="384"/>
      <c r="G678" s="384"/>
      <c r="H678" s="384"/>
      <c r="I678" s="384"/>
    </row>
    <row r="680" spans="2:11" ht="13.5" thickBot="1" x14ac:dyDescent="0.25"/>
    <row r="681" spans="2:11" ht="13.5" thickBot="1" x14ac:dyDescent="0.25">
      <c r="B681" s="345" t="s">
        <v>0</v>
      </c>
      <c r="C681" s="345" t="s">
        <v>9</v>
      </c>
      <c r="D681" s="345" t="s">
        <v>1</v>
      </c>
      <c r="E681" s="345" t="s">
        <v>189</v>
      </c>
      <c r="F681" s="345" t="s">
        <v>8</v>
      </c>
      <c r="G681" s="143"/>
      <c r="H681" s="143"/>
      <c r="I681" s="143"/>
    </row>
    <row r="682" spans="2:11" ht="13.5" thickBot="1" x14ac:dyDescent="0.25">
      <c r="B682" s="345"/>
      <c r="C682" s="345"/>
      <c r="D682" s="345"/>
      <c r="E682" s="345"/>
      <c r="F682" s="345"/>
      <c r="G682" s="143"/>
      <c r="H682" s="143"/>
      <c r="I682" s="143"/>
    </row>
    <row r="683" spans="2:11" ht="24.75" thickBot="1" x14ac:dyDescent="0.25">
      <c r="B683" s="140" t="s">
        <v>17</v>
      </c>
      <c r="C683" s="286" t="s">
        <v>730</v>
      </c>
      <c r="D683" s="135" t="s">
        <v>170</v>
      </c>
      <c r="E683" s="133" t="s">
        <v>10</v>
      </c>
      <c r="F683" s="134">
        <f>SUM(F685:F685)</f>
        <v>150</v>
      </c>
      <c r="G683" s="143"/>
      <c r="H683" s="143"/>
      <c r="I683" s="143"/>
    </row>
    <row r="684" spans="2:11" ht="13.5" thickBot="1" x14ac:dyDescent="0.25">
      <c r="B684" s="148" t="s">
        <v>234</v>
      </c>
      <c r="C684" s="148" t="s">
        <v>315</v>
      </c>
      <c r="D684" s="148" t="s">
        <v>255</v>
      </c>
      <c r="E684" s="148"/>
      <c r="F684" s="148" t="s">
        <v>300</v>
      </c>
      <c r="G684" s="361" t="s">
        <v>235</v>
      </c>
      <c r="H684" s="362"/>
      <c r="I684" s="363"/>
    </row>
    <row r="685" spans="2:11" ht="13.5" thickBot="1" x14ac:dyDescent="0.25">
      <c r="B685" s="179">
        <v>1</v>
      </c>
      <c r="C685" s="162">
        <v>10</v>
      </c>
      <c r="D685" s="163">
        <v>15</v>
      </c>
      <c r="E685" s="162"/>
      <c r="F685" s="162">
        <f>B685*C685*D685</f>
        <v>150</v>
      </c>
      <c r="G685" s="361"/>
      <c r="H685" s="362"/>
      <c r="I685" s="363"/>
      <c r="K685" s="143" t="s">
        <v>411</v>
      </c>
    </row>
    <row r="686" spans="2:11" ht="13.5" thickBot="1" x14ac:dyDescent="0.25"/>
    <row r="687" spans="2:11" ht="13.5" thickBot="1" x14ac:dyDescent="0.25">
      <c r="B687" s="345" t="s">
        <v>0</v>
      </c>
      <c r="C687" s="345" t="s">
        <v>9</v>
      </c>
      <c r="D687" s="345" t="s">
        <v>1</v>
      </c>
      <c r="E687" s="345" t="s">
        <v>189</v>
      </c>
      <c r="F687" s="345" t="s">
        <v>8</v>
      </c>
      <c r="G687" s="143"/>
      <c r="H687" s="143"/>
      <c r="I687" s="143"/>
    </row>
    <row r="688" spans="2:11" ht="13.5" thickBot="1" x14ac:dyDescent="0.25">
      <c r="B688" s="345"/>
      <c r="C688" s="345"/>
      <c r="D688" s="345"/>
      <c r="E688" s="345"/>
      <c r="F688" s="345"/>
      <c r="G688" s="143"/>
      <c r="H688" s="143"/>
      <c r="I688" s="143"/>
    </row>
    <row r="689" spans="2:11" ht="24.75" thickBot="1" x14ac:dyDescent="0.25">
      <c r="B689" s="140" t="s">
        <v>96</v>
      </c>
      <c r="C689" s="262">
        <v>94227</v>
      </c>
      <c r="D689" s="135" t="s">
        <v>595</v>
      </c>
      <c r="E689" s="133" t="s">
        <v>12</v>
      </c>
      <c r="F689" s="134">
        <f>SUM(F691:F691)</f>
        <v>15</v>
      </c>
      <c r="G689" s="143"/>
      <c r="H689" s="143"/>
      <c r="I689" s="143"/>
    </row>
    <row r="690" spans="2:11" ht="13.5" thickBot="1" x14ac:dyDescent="0.25">
      <c r="B690" s="148" t="s">
        <v>234</v>
      </c>
      <c r="C690" s="148" t="s">
        <v>404</v>
      </c>
      <c r="D690" s="148" t="s">
        <v>255</v>
      </c>
      <c r="E690" s="148"/>
      <c r="F690" s="148" t="s">
        <v>317</v>
      </c>
      <c r="G690" s="361" t="s">
        <v>235</v>
      </c>
      <c r="H690" s="362"/>
      <c r="I690" s="363"/>
    </row>
    <row r="691" spans="2:11" ht="13.5" thickBot="1" x14ac:dyDescent="0.25">
      <c r="B691" s="167">
        <v>1</v>
      </c>
      <c r="C691" s="162"/>
      <c r="D691" s="163">
        <v>15</v>
      </c>
      <c r="E691" s="162"/>
      <c r="F691" s="163">
        <f>B691*D691</f>
        <v>15</v>
      </c>
      <c r="G691" s="361"/>
      <c r="H691" s="362"/>
      <c r="I691" s="363"/>
      <c r="K691" s="143" t="s">
        <v>423</v>
      </c>
    </row>
    <row r="692" spans="2:11" x14ac:dyDescent="0.2">
      <c r="B692" s="173"/>
      <c r="C692" s="173"/>
      <c r="D692" s="178"/>
      <c r="E692" s="173"/>
      <c r="F692" s="173"/>
      <c r="G692" s="173"/>
      <c r="H692" s="173"/>
      <c r="I692" s="173"/>
    </row>
    <row r="693" spans="2:11" ht="13.5" thickBot="1" x14ac:dyDescent="0.25"/>
    <row r="694" spans="2:11" ht="15.75" thickBot="1" x14ac:dyDescent="0.25">
      <c r="B694" s="145">
        <v>8</v>
      </c>
      <c r="C694" s="384" t="s">
        <v>369</v>
      </c>
      <c r="D694" s="384"/>
      <c r="E694" s="384"/>
      <c r="F694" s="384"/>
      <c r="G694" s="384"/>
      <c r="H694" s="384"/>
      <c r="I694" s="384"/>
    </row>
    <row r="696" spans="2:11" ht="13.5" thickBot="1" x14ac:dyDescent="0.25"/>
    <row r="697" spans="2:11" ht="13.5" thickBot="1" x14ac:dyDescent="0.25">
      <c r="B697" s="345" t="s">
        <v>0</v>
      </c>
      <c r="C697" s="345" t="s">
        <v>9</v>
      </c>
      <c r="D697" s="345" t="s">
        <v>1</v>
      </c>
      <c r="E697" s="345" t="s">
        <v>189</v>
      </c>
      <c r="F697" s="345" t="s">
        <v>8</v>
      </c>
      <c r="G697" s="143"/>
      <c r="H697" s="143"/>
      <c r="I697" s="143"/>
    </row>
    <row r="698" spans="2:11" ht="13.5" thickBot="1" x14ac:dyDescent="0.25">
      <c r="B698" s="345"/>
      <c r="C698" s="345"/>
      <c r="D698" s="345"/>
      <c r="E698" s="345"/>
      <c r="F698" s="345"/>
      <c r="G698" s="143"/>
      <c r="H698" s="143"/>
      <c r="I698" s="143"/>
    </row>
    <row r="699" spans="2:11" ht="24.75" thickBot="1" x14ac:dyDescent="0.25">
      <c r="B699" s="140" t="s">
        <v>18</v>
      </c>
      <c r="C699" s="262">
        <v>94569</v>
      </c>
      <c r="D699" s="135" t="s">
        <v>412</v>
      </c>
      <c r="E699" s="133" t="s">
        <v>10</v>
      </c>
      <c r="F699" s="134">
        <f>SUM(F701:F702)</f>
        <v>6.5000000000000009</v>
      </c>
      <c r="G699" s="143"/>
      <c r="H699" s="143"/>
      <c r="I699" s="143"/>
    </row>
    <row r="700" spans="2:11" ht="24.75" thickBot="1" x14ac:dyDescent="0.25">
      <c r="B700" s="148" t="s">
        <v>234</v>
      </c>
      <c r="C700" s="148" t="s">
        <v>404</v>
      </c>
      <c r="D700" s="148" t="s">
        <v>255</v>
      </c>
      <c r="E700" s="148" t="s">
        <v>360</v>
      </c>
      <c r="F700" s="148" t="s">
        <v>300</v>
      </c>
      <c r="G700" s="361" t="s">
        <v>235</v>
      </c>
      <c r="H700" s="362"/>
      <c r="I700" s="363"/>
    </row>
    <row r="701" spans="2:11" ht="13.5" thickBot="1" x14ac:dyDescent="0.25">
      <c r="B701" s="268">
        <v>10</v>
      </c>
      <c r="C701" s="268">
        <v>1.2</v>
      </c>
      <c r="D701" s="268">
        <v>0.52500000000000002</v>
      </c>
      <c r="E701" s="268"/>
      <c r="F701" s="263">
        <f>B701*C701*D701</f>
        <v>6.3000000000000007</v>
      </c>
      <c r="G701" s="264"/>
      <c r="H701" s="265"/>
      <c r="I701" s="266"/>
    </row>
    <row r="702" spans="2:11" ht="13.5" thickBot="1" x14ac:dyDescent="0.25">
      <c r="B702" s="167">
        <v>1</v>
      </c>
      <c r="C702" s="162">
        <v>0.4</v>
      </c>
      <c r="D702" s="163">
        <v>0.5</v>
      </c>
      <c r="E702" s="162"/>
      <c r="F702" s="162">
        <f>B702*C702*D702</f>
        <v>0.2</v>
      </c>
      <c r="G702" s="361" t="s">
        <v>409</v>
      </c>
      <c r="H702" s="362"/>
      <c r="I702" s="363"/>
      <c r="K702" s="143" t="s">
        <v>411</v>
      </c>
    </row>
    <row r="703" spans="2:11" ht="13.5" thickBot="1" x14ac:dyDescent="0.25">
      <c r="B703" s="174"/>
      <c r="C703" s="174"/>
      <c r="D703" s="177"/>
      <c r="E703" s="174"/>
      <c r="F703" s="174"/>
      <c r="G703" s="174"/>
      <c r="H703" s="174"/>
      <c r="I703" s="174"/>
    </row>
    <row r="704" spans="2:11" x14ac:dyDescent="0.2">
      <c r="B704" s="359" t="s">
        <v>0</v>
      </c>
      <c r="C704" s="359" t="s">
        <v>9</v>
      </c>
      <c r="D704" s="359" t="s">
        <v>1</v>
      </c>
      <c r="E704" s="359" t="s">
        <v>189</v>
      </c>
      <c r="F704" s="359" t="s">
        <v>8</v>
      </c>
      <c r="G704" s="143"/>
      <c r="H704" s="143"/>
      <c r="I704" s="143"/>
    </row>
    <row r="705" spans="2:11" ht="15.75" customHeight="1" thickBot="1" x14ac:dyDescent="0.25">
      <c r="B705" s="360"/>
      <c r="C705" s="360"/>
      <c r="D705" s="360"/>
      <c r="E705" s="360"/>
      <c r="F705" s="360"/>
      <c r="G705" s="143"/>
      <c r="H705" s="143"/>
      <c r="I705" s="143"/>
    </row>
    <row r="706" spans="2:11" ht="24.75" thickBot="1" x14ac:dyDescent="0.25">
      <c r="B706" s="140" t="s">
        <v>108</v>
      </c>
      <c r="C706" s="262">
        <v>94570</v>
      </c>
      <c r="D706" s="135" t="s">
        <v>442</v>
      </c>
      <c r="E706" s="133" t="s">
        <v>10</v>
      </c>
      <c r="F706" s="134">
        <f>SUM(F708)</f>
        <v>3.36</v>
      </c>
      <c r="G706" s="143"/>
      <c r="H706" s="143"/>
      <c r="I706" s="143"/>
    </row>
    <row r="707" spans="2:11" ht="24.75" thickBot="1" x14ac:dyDescent="0.25">
      <c r="B707" s="148" t="s">
        <v>234</v>
      </c>
      <c r="C707" s="148" t="s">
        <v>404</v>
      </c>
      <c r="D707" s="148" t="s">
        <v>255</v>
      </c>
      <c r="E707" s="148" t="s">
        <v>360</v>
      </c>
      <c r="F707" s="148" t="s">
        <v>300</v>
      </c>
      <c r="G707" s="361" t="s">
        <v>235</v>
      </c>
      <c r="H707" s="362"/>
      <c r="I707" s="363"/>
    </row>
    <row r="708" spans="2:11" ht="13.5" thickBot="1" x14ac:dyDescent="0.25">
      <c r="B708" s="167">
        <v>2</v>
      </c>
      <c r="C708" s="162">
        <v>1.2</v>
      </c>
      <c r="D708" s="163">
        <v>1.4</v>
      </c>
      <c r="E708" s="162"/>
      <c r="F708" s="162">
        <f>B708*C708*D708</f>
        <v>3.36</v>
      </c>
      <c r="G708" s="361" t="s">
        <v>403</v>
      </c>
      <c r="H708" s="362"/>
      <c r="I708" s="363"/>
      <c r="K708" s="143" t="s">
        <v>405</v>
      </c>
    </row>
    <row r="709" spans="2:11" ht="13.5" thickBot="1" x14ac:dyDescent="0.25">
      <c r="B709" s="173"/>
      <c r="C709" s="173"/>
      <c r="D709" s="178"/>
      <c r="E709" s="173"/>
      <c r="F709" s="173"/>
      <c r="G709" s="173"/>
      <c r="H709" s="173"/>
      <c r="I709" s="173"/>
    </row>
    <row r="710" spans="2:11" ht="13.5" thickBot="1" x14ac:dyDescent="0.25">
      <c r="B710" s="345" t="s">
        <v>0</v>
      </c>
      <c r="C710" s="345" t="s">
        <v>9</v>
      </c>
      <c r="D710" s="345" t="s">
        <v>1</v>
      </c>
      <c r="E710" s="345" t="s">
        <v>189</v>
      </c>
      <c r="F710" s="345" t="s">
        <v>8</v>
      </c>
      <c r="G710" s="143"/>
      <c r="H710" s="143"/>
      <c r="I710" s="143"/>
    </row>
    <row r="711" spans="2:11" ht="13.5" thickBot="1" x14ac:dyDescent="0.25">
      <c r="B711" s="345"/>
      <c r="C711" s="345"/>
      <c r="D711" s="345"/>
      <c r="E711" s="345"/>
      <c r="F711" s="345"/>
      <c r="G711" s="143"/>
      <c r="H711" s="143"/>
      <c r="I711" s="143"/>
    </row>
    <row r="712" spans="2:11" ht="48.75" thickBot="1" x14ac:dyDescent="0.25">
      <c r="B712" s="140" t="s">
        <v>109</v>
      </c>
      <c r="C712" s="135" t="s">
        <v>614</v>
      </c>
      <c r="D712" s="135" t="s">
        <v>611</v>
      </c>
      <c r="E712" s="133" t="s">
        <v>10</v>
      </c>
      <c r="F712" s="134">
        <f>SUM(F714:F716)</f>
        <v>23.68</v>
      </c>
      <c r="G712" s="143"/>
      <c r="H712" s="143"/>
      <c r="I712" s="143"/>
    </row>
    <row r="713" spans="2:11" ht="13.5" thickBot="1" x14ac:dyDescent="0.25">
      <c r="B713" s="148" t="s">
        <v>234</v>
      </c>
      <c r="C713" s="148"/>
      <c r="D713" s="148"/>
      <c r="E713" s="148"/>
      <c r="F713" s="148" t="s">
        <v>376</v>
      </c>
      <c r="G713" s="349" t="s">
        <v>235</v>
      </c>
      <c r="H713" s="351"/>
      <c r="I713" s="350"/>
    </row>
    <row r="714" spans="2:11" ht="13.5" thickBot="1" x14ac:dyDescent="0.25">
      <c r="B714" s="167">
        <v>2</v>
      </c>
      <c r="C714" s="167"/>
      <c r="D714" s="167">
        <v>4</v>
      </c>
      <c r="E714" s="167">
        <v>2</v>
      </c>
      <c r="F714" s="167">
        <f>B714*D714*E714</f>
        <v>16</v>
      </c>
      <c r="G714" s="364" t="s">
        <v>370</v>
      </c>
      <c r="H714" s="365"/>
      <c r="I714" s="366"/>
    </row>
    <row r="715" spans="2:11" ht="13.5" thickBot="1" x14ac:dyDescent="0.25">
      <c r="B715" s="167">
        <v>1</v>
      </c>
      <c r="C715" s="167"/>
      <c r="D715" s="167">
        <v>1.6</v>
      </c>
      <c r="E715" s="167">
        <v>2.1</v>
      </c>
      <c r="F715" s="167">
        <f>B715*D715*E715</f>
        <v>3.3600000000000003</v>
      </c>
      <c r="G715" s="364" t="s">
        <v>391</v>
      </c>
      <c r="H715" s="365"/>
      <c r="I715" s="366"/>
    </row>
    <row r="716" spans="2:11" ht="13.5" thickBot="1" x14ac:dyDescent="0.25">
      <c r="B716" s="167">
        <v>1</v>
      </c>
      <c r="C716" s="167"/>
      <c r="D716" s="167">
        <v>1.6</v>
      </c>
      <c r="E716" s="167">
        <v>2.7</v>
      </c>
      <c r="F716" s="167">
        <f>B716*D716*E716</f>
        <v>4.32</v>
      </c>
      <c r="G716" s="364" t="s">
        <v>392</v>
      </c>
      <c r="H716" s="365"/>
      <c r="I716" s="366"/>
    </row>
    <row r="717" spans="2:11" ht="13.5" thickBot="1" x14ac:dyDescent="0.25">
      <c r="B717" s="175"/>
      <c r="C717" s="175"/>
      <c r="D717" s="176"/>
      <c r="E717" s="175"/>
      <c r="F717" s="175"/>
      <c r="G717" s="269"/>
      <c r="H717" s="269"/>
      <c r="I717" s="269"/>
    </row>
    <row r="718" spans="2:11" ht="13.5" thickBot="1" x14ac:dyDescent="0.25">
      <c r="B718" s="345" t="s">
        <v>0</v>
      </c>
      <c r="C718" s="345" t="s">
        <v>9</v>
      </c>
      <c r="D718" s="345" t="s">
        <v>1</v>
      </c>
      <c r="E718" s="345" t="s">
        <v>189</v>
      </c>
      <c r="F718" s="345" t="s">
        <v>8</v>
      </c>
      <c r="G718" s="143"/>
      <c r="H718" s="143"/>
      <c r="I718" s="143"/>
    </row>
    <row r="719" spans="2:11" ht="13.5" thickBot="1" x14ac:dyDescent="0.25">
      <c r="B719" s="345"/>
      <c r="C719" s="345"/>
      <c r="D719" s="345"/>
      <c r="E719" s="345"/>
      <c r="F719" s="345"/>
      <c r="G719" s="143"/>
      <c r="H719" s="143"/>
      <c r="I719" s="143"/>
    </row>
    <row r="720" spans="2:11" ht="36.75" thickBot="1" x14ac:dyDescent="0.25">
      <c r="B720" s="140" t="s">
        <v>186</v>
      </c>
      <c r="C720" s="262" t="s">
        <v>736</v>
      </c>
      <c r="D720" s="135" t="s">
        <v>667</v>
      </c>
      <c r="E720" s="133"/>
      <c r="F720" s="134">
        <f>SUM(F722:F723)</f>
        <v>8.4688000000000017</v>
      </c>
      <c r="G720" s="143"/>
      <c r="H720" s="143"/>
      <c r="I720" s="143"/>
    </row>
    <row r="721" spans="2:11" ht="13.5" thickBot="1" x14ac:dyDescent="0.25">
      <c r="B721" s="148" t="s">
        <v>234</v>
      </c>
      <c r="C721" s="136"/>
      <c r="D721" s="136" t="s">
        <v>255</v>
      </c>
      <c r="E721" s="136" t="s">
        <v>314</v>
      </c>
      <c r="F721" s="136" t="s">
        <v>300</v>
      </c>
      <c r="G721" s="375" t="s">
        <v>235</v>
      </c>
      <c r="H721" s="376"/>
      <c r="I721" s="377"/>
    </row>
    <row r="722" spans="2:11" ht="13.5" thickBot="1" x14ac:dyDescent="0.25">
      <c r="B722" s="167">
        <v>1</v>
      </c>
      <c r="C722" s="167"/>
      <c r="D722" s="163">
        <v>2.68</v>
      </c>
      <c r="E722" s="163">
        <v>1.58</v>
      </c>
      <c r="F722" s="163">
        <f>B722*D722*E722</f>
        <v>4.2344000000000008</v>
      </c>
      <c r="G722" s="364" t="s">
        <v>391</v>
      </c>
      <c r="H722" s="365"/>
      <c r="I722" s="366"/>
    </row>
    <row r="723" spans="2:11" ht="13.5" thickBot="1" x14ac:dyDescent="0.25">
      <c r="B723" s="167">
        <v>1</v>
      </c>
      <c r="C723" s="167"/>
      <c r="D723" s="163">
        <v>2.68</v>
      </c>
      <c r="E723" s="163">
        <v>1.58</v>
      </c>
      <c r="F723" s="163">
        <f>B723*D723*E723</f>
        <v>4.2344000000000008</v>
      </c>
      <c r="G723" s="364" t="s">
        <v>392</v>
      </c>
      <c r="H723" s="365"/>
      <c r="I723" s="366"/>
    </row>
    <row r="725" spans="2:11" ht="13.5" thickBot="1" x14ac:dyDescent="0.25"/>
    <row r="726" spans="2:11" ht="15.75" thickBot="1" x14ac:dyDescent="0.25">
      <c r="B726" s="145">
        <v>9</v>
      </c>
      <c r="C726" s="384" t="s">
        <v>43</v>
      </c>
      <c r="D726" s="384"/>
      <c r="E726" s="384"/>
      <c r="F726" s="384"/>
      <c r="G726" s="384"/>
      <c r="H726" s="384"/>
      <c r="I726" s="384"/>
    </row>
    <row r="728" spans="2:11" ht="13.5" thickBot="1" x14ac:dyDescent="0.25"/>
    <row r="729" spans="2:11" ht="13.5" thickBot="1" x14ac:dyDescent="0.25">
      <c r="B729" s="345" t="s">
        <v>0</v>
      </c>
      <c r="C729" s="345" t="s">
        <v>9</v>
      </c>
      <c r="D729" s="345" t="s">
        <v>1</v>
      </c>
      <c r="E729" s="345" t="s">
        <v>189</v>
      </c>
      <c r="F729" s="345" t="s">
        <v>8</v>
      </c>
      <c r="G729" s="143"/>
      <c r="H729" s="143"/>
      <c r="I729" s="143"/>
    </row>
    <row r="730" spans="2:11" ht="13.5" thickBot="1" x14ac:dyDescent="0.25">
      <c r="B730" s="345"/>
      <c r="C730" s="345"/>
      <c r="D730" s="345"/>
      <c r="E730" s="345"/>
      <c r="F730" s="345"/>
      <c r="G730" s="143"/>
      <c r="H730" s="143"/>
      <c r="I730" s="143"/>
    </row>
    <row r="731" spans="2:11" ht="78.75" customHeight="1" thickBot="1" x14ac:dyDescent="0.25">
      <c r="B731" s="140" t="s">
        <v>19</v>
      </c>
      <c r="C731" s="262" t="s">
        <v>540</v>
      </c>
      <c r="D731" s="135" t="s">
        <v>444</v>
      </c>
      <c r="E731" s="133" t="s">
        <v>11</v>
      </c>
      <c r="F731" s="134">
        <f>F733</f>
        <v>1</v>
      </c>
      <c r="G731" s="143"/>
      <c r="H731" s="143"/>
      <c r="I731" s="143"/>
    </row>
    <row r="732" spans="2:11" ht="24.75" thickBot="1" x14ac:dyDescent="0.25">
      <c r="B732" s="268" t="s">
        <v>234</v>
      </c>
      <c r="C732" s="268" t="s">
        <v>314</v>
      </c>
      <c r="D732" s="268" t="s">
        <v>255</v>
      </c>
      <c r="E732" s="268" t="s">
        <v>360</v>
      </c>
      <c r="F732" s="268" t="s">
        <v>300</v>
      </c>
      <c r="G732" s="349" t="s">
        <v>235</v>
      </c>
      <c r="H732" s="351"/>
      <c r="I732" s="350"/>
    </row>
    <row r="733" spans="2:11" ht="13.5" thickBot="1" x14ac:dyDescent="0.25">
      <c r="B733" s="158"/>
      <c r="C733" s="267"/>
      <c r="D733" s="267"/>
      <c r="E733" s="267"/>
      <c r="F733" s="267">
        <v>1</v>
      </c>
      <c r="G733" s="352"/>
      <c r="H733" s="353"/>
      <c r="I733" s="354"/>
      <c r="K733" s="143" t="s">
        <v>397</v>
      </c>
    </row>
    <row r="735" spans="2:11" ht="13.5" thickBot="1" x14ac:dyDescent="0.25"/>
    <row r="736" spans="2:11" ht="15.75" thickBot="1" x14ac:dyDescent="0.25">
      <c r="B736" s="145">
        <v>10</v>
      </c>
      <c r="C736" s="384" t="s">
        <v>6</v>
      </c>
      <c r="D736" s="384"/>
      <c r="E736" s="384"/>
      <c r="F736" s="384"/>
      <c r="G736" s="384"/>
      <c r="H736" s="384"/>
      <c r="I736" s="384"/>
    </row>
    <row r="738" spans="2:11" ht="13.5" thickBot="1" x14ac:dyDescent="0.25"/>
    <row r="739" spans="2:11" ht="13.5" thickBot="1" x14ac:dyDescent="0.25">
      <c r="B739" s="345" t="s">
        <v>0</v>
      </c>
      <c r="C739" s="345" t="s">
        <v>9</v>
      </c>
      <c r="D739" s="345" t="s">
        <v>1</v>
      </c>
      <c r="E739" s="345" t="s">
        <v>189</v>
      </c>
      <c r="F739" s="345" t="s">
        <v>8</v>
      </c>
      <c r="G739" s="143"/>
      <c r="H739" s="143"/>
      <c r="I739" s="143"/>
    </row>
    <row r="740" spans="2:11" ht="13.5" thickBot="1" x14ac:dyDescent="0.25">
      <c r="B740" s="345"/>
      <c r="C740" s="345"/>
      <c r="D740" s="345"/>
      <c r="E740" s="345"/>
      <c r="F740" s="345"/>
      <c r="G740" s="143"/>
      <c r="H740" s="143"/>
      <c r="I740" s="143"/>
    </row>
    <row r="741" spans="2:11" ht="36.75" thickBot="1" x14ac:dyDescent="0.25">
      <c r="B741" s="140" t="s">
        <v>110</v>
      </c>
      <c r="C741" s="262" t="s">
        <v>484</v>
      </c>
      <c r="D741" s="135" t="s">
        <v>666</v>
      </c>
      <c r="E741" s="133" t="s">
        <v>10</v>
      </c>
      <c r="F741" s="134">
        <f>SUM(F743:F743)</f>
        <v>1.8900000000000001</v>
      </c>
      <c r="G741" s="143"/>
      <c r="H741" s="143"/>
      <c r="I741" s="143"/>
    </row>
    <row r="742" spans="2:11" ht="24.75" thickBot="1" x14ac:dyDescent="0.25">
      <c r="B742" s="148" t="s">
        <v>234</v>
      </c>
      <c r="C742" s="148" t="s">
        <v>314</v>
      </c>
      <c r="D742" s="148" t="s">
        <v>255</v>
      </c>
      <c r="E742" s="148" t="s">
        <v>360</v>
      </c>
      <c r="F742" s="148" t="s">
        <v>300</v>
      </c>
      <c r="G742" s="349" t="s">
        <v>235</v>
      </c>
      <c r="H742" s="351"/>
      <c r="I742" s="350"/>
    </row>
    <row r="743" spans="2:11" ht="13.5" thickBot="1" x14ac:dyDescent="0.25">
      <c r="B743" s="158">
        <v>1</v>
      </c>
      <c r="C743" s="144">
        <v>2.1</v>
      </c>
      <c r="D743" s="144">
        <v>0.9</v>
      </c>
      <c r="E743" s="144">
        <v>0</v>
      </c>
      <c r="F743" s="144">
        <f>C743*D743</f>
        <v>1.8900000000000001</v>
      </c>
      <c r="G743" s="352"/>
      <c r="H743" s="353"/>
      <c r="I743" s="354"/>
      <c r="K743" s="143" t="s">
        <v>397</v>
      </c>
    </row>
    <row r="744" spans="2:11" ht="13.5" thickBot="1" x14ac:dyDescent="0.25"/>
    <row r="745" spans="2:11" ht="13.5" thickBot="1" x14ac:dyDescent="0.25">
      <c r="B745" s="345" t="s">
        <v>0</v>
      </c>
      <c r="C745" s="345" t="s">
        <v>9</v>
      </c>
      <c r="D745" s="345" t="s">
        <v>1</v>
      </c>
      <c r="E745" s="345" t="s">
        <v>189</v>
      </c>
      <c r="F745" s="345" t="s">
        <v>8</v>
      </c>
      <c r="G745" s="143"/>
      <c r="H745" s="143"/>
      <c r="I745" s="143"/>
    </row>
    <row r="746" spans="2:11" ht="13.5" thickBot="1" x14ac:dyDescent="0.25">
      <c r="B746" s="345"/>
      <c r="C746" s="345"/>
      <c r="D746" s="345"/>
      <c r="E746" s="345"/>
      <c r="F746" s="345"/>
      <c r="G746" s="143"/>
      <c r="H746" s="143"/>
      <c r="I746" s="143"/>
    </row>
    <row r="747" spans="2:11" ht="24.75" thickBot="1" x14ac:dyDescent="0.25">
      <c r="B747" s="140" t="s">
        <v>87</v>
      </c>
      <c r="C747" s="262" t="s">
        <v>483</v>
      </c>
      <c r="D747" s="135" t="s">
        <v>168</v>
      </c>
      <c r="E747" s="133" t="s">
        <v>10</v>
      </c>
      <c r="F747" s="134">
        <f>SUM(F749:F749)</f>
        <v>0.8</v>
      </c>
      <c r="G747" s="143"/>
      <c r="H747" s="143"/>
      <c r="I747" s="143"/>
    </row>
    <row r="748" spans="2:11" ht="13.5" thickBot="1" x14ac:dyDescent="0.25">
      <c r="B748" s="148" t="s">
        <v>234</v>
      </c>
      <c r="C748" s="148" t="s">
        <v>314</v>
      </c>
      <c r="D748" s="148" t="s">
        <v>255</v>
      </c>
      <c r="E748" s="148"/>
      <c r="F748" s="148" t="s">
        <v>300</v>
      </c>
      <c r="G748" s="349" t="s">
        <v>235</v>
      </c>
      <c r="H748" s="351"/>
      <c r="I748" s="350"/>
    </row>
    <row r="749" spans="2:11" ht="13.5" thickBot="1" x14ac:dyDescent="0.25">
      <c r="B749" s="158">
        <v>1</v>
      </c>
      <c r="C749" s="144">
        <v>0.8</v>
      </c>
      <c r="D749" s="144">
        <v>1</v>
      </c>
      <c r="E749" s="144"/>
      <c r="F749" s="144">
        <f>B749*C749*D749</f>
        <v>0.8</v>
      </c>
      <c r="G749" s="352" t="s">
        <v>424</v>
      </c>
      <c r="H749" s="353"/>
      <c r="I749" s="354"/>
      <c r="K749" s="143" t="s">
        <v>425</v>
      </c>
    </row>
    <row r="750" spans="2:11" ht="13.5" thickBot="1" x14ac:dyDescent="0.25"/>
    <row r="751" spans="2:11" ht="13.5" thickBot="1" x14ac:dyDescent="0.25">
      <c r="B751" s="345" t="s">
        <v>0</v>
      </c>
      <c r="C751" s="345" t="s">
        <v>9</v>
      </c>
      <c r="D751" s="345" t="s">
        <v>1</v>
      </c>
      <c r="E751" s="345" t="s">
        <v>189</v>
      </c>
      <c r="F751" s="345" t="s">
        <v>8</v>
      </c>
      <c r="G751" s="143"/>
      <c r="H751" s="143"/>
      <c r="I751" s="143"/>
    </row>
    <row r="752" spans="2:11" ht="13.5" thickBot="1" x14ac:dyDescent="0.25">
      <c r="B752" s="345"/>
      <c r="C752" s="345"/>
      <c r="D752" s="345"/>
      <c r="E752" s="345"/>
      <c r="F752" s="345"/>
      <c r="G752" s="143"/>
      <c r="H752" s="143"/>
      <c r="I752" s="143"/>
    </row>
    <row r="753" spans="2:11" ht="24.75" thickBot="1" x14ac:dyDescent="0.25">
      <c r="B753" s="140" t="s">
        <v>406</v>
      </c>
      <c r="C753" s="286" t="s">
        <v>485</v>
      </c>
      <c r="D753" s="135" t="s">
        <v>612</v>
      </c>
      <c r="E753" s="133" t="s">
        <v>10</v>
      </c>
      <c r="F753" s="134">
        <f>SUM(F755:F757)</f>
        <v>9.92</v>
      </c>
      <c r="G753" s="143"/>
      <c r="H753" s="143"/>
      <c r="I753" s="143"/>
    </row>
    <row r="754" spans="2:11" ht="24.75" thickBot="1" x14ac:dyDescent="0.25">
      <c r="B754" s="148" t="s">
        <v>234</v>
      </c>
      <c r="C754" s="148" t="s">
        <v>314</v>
      </c>
      <c r="D754" s="148" t="s">
        <v>255</v>
      </c>
      <c r="E754" s="148" t="s">
        <v>360</v>
      </c>
      <c r="F754" s="148" t="s">
        <v>300</v>
      </c>
      <c r="G754" s="349" t="s">
        <v>235</v>
      </c>
      <c r="H754" s="351"/>
      <c r="I754" s="350"/>
    </row>
    <row r="755" spans="2:11" ht="13.5" thickBot="1" x14ac:dyDescent="0.25">
      <c r="B755" s="158">
        <v>10</v>
      </c>
      <c r="C755" s="144">
        <v>1.2</v>
      </c>
      <c r="D755" s="144">
        <v>0.53</v>
      </c>
      <c r="E755" s="148"/>
      <c r="F755" s="148">
        <f>B755*C755*D755</f>
        <v>6.36</v>
      </c>
      <c r="G755" s="349" t="s">
        <v>408</v>
      </c>
      <c r="H755" s="351"/>
      <c r="I755" s="350"/>
    </row>
    <row r="756" spans="2:11" ht="13.5" thickBot="1" x14ac:dyDescent="0.25">
      <c r="B756" s="158">
        <v>1</v>
      </c>
      <c r="C756" s="144">
        <v>0.4</v>
      </c>
      <c r="D756" s="144">
        <v>0.5</v>
      </c>
      <c r="E756" s="148"/>
      <c r="F756" s="148">
        <f>B756*C756*D756</f>
        <v>0.2</v>
      </c>
      <c r="G756" s="349" t="s">
        <v>409</v>
      </c>
      <c r="H756" s="351"/>
      <c r="I756" s="350"/>
    </row>
    <row r="757" spans="2:11" ht="13.5" thickBot="1" x14ac:dyDescent="0.25">
      <c r="B757" s="158">
        <v>2</v>
      </c>
      <c r="C757" s="144">
        <v>1.2</v>
      </c>
      <c r="D757" s="144">
        <v>1.4</v>
      </c>
      <c r="E757" s="144"/>
      <c r="F757" s="148">
        <f>B757*C757*D757</f>
        <v>3.36</v>
      </c>
      <c r="G757" s="352" t="s">
        <v>403</v>
      </c>
      <c r="H757" s="353"/>
      <c r="I757" s="354"/>
      <c r="K757" s="143" t="s">
        <v>407</v>
      </c>
    </row>
    <row r="758" spans="2:11" x14ac:dyDescent="0.2">
      <c r="D758" s="143" t="s">
        <v>410</v>
      </c>
    </row>
    <row r="760" spans="2:11" ht="13.5" thickBot="1" x14ac:dyDescent="0.25"/>
    <row r="761" spans="2:11" ht="15.75" thickBot="1" x14ac:dyDescent="0.25">
      <c r="B761" s="145">
        <v>11</v>
      </c>
      <c r="C761" s="384" t="s">
        <v>398</v>
      </c>
      <c r="D761" s="384"/>
      <c r="E761" s="384"/>
      <c r="F761" s="384"/>
      <c r="G761" s="384"/>
      <c r="H761" s="384"/>
      <c r="I761" s="384"/>
    </row>
    <row r="763" spans="2:11" ht="13.5" thickBot="1" x14ac:dyDescent="0.25"/>
    <row r="764" spans="2:11" ht="13.5" thickBot="1" x14ac:dyDescent="0.25">
      <c r="B764" s="345" t="s">
        <v>0</v>
      </c>
      <c r="C764" s="345" t="s">
        <v>9</v>
      </c>
      <c r="D764" s="345" t="s">
        <v>1</v>
      </c>
      <c r="E764" s="345" t="s">
        <v>189</v>
      </c>
      <c r="F764" s="345" t="s">
        <v>8</v>
      </c>
      <c r="G764" s="143"/>
      <c r="H764" s="143"/>
      <c r="I764" s="143"/>
    </row>
    <row r="765" spans="2:11" ht="13.5" thickBot="1" x14ac:dyDescent="0.25">
      <c r="B765" s="345"/>
      <c r="C765" s="345"/>
      <c r="D765" s="345"/>
      <c r="E765" s="345"/>
      <c r="F765" s="345"/>
      <c r="G765" s="143"/>
      <c r="H765" s="143"/>
      <c r="I765" s="143"/>
    </row>
    <row r="766" spans="2:11" ht="24.75" thickBot="1" x14ac:dyDescent="0.25">
      <c r="B766" s="140" t="s">
        <v>52</v>
      </c>
      <c r="C766" s="262" t="s">
        <v>486</v>
      </c>
      <c r="D766" s="135" t="s">
        <v>101</v>
      </c>
      <c r="E766" s="133" t="s">
        <v>10</v>
      </c>
      <c r="F766" s="134">
        <f>SUM(F768:F771)</f>
        <v>22.884999999999998</v>
      </c>
      <c r="G766" s="143"/>
      <c r="H766" s="143"/>
      <c r="I766" s="143"/>
    </row>
    <row r="767" spans="2:11" ht="24.75" thickBot="1" x14ac:dyDescent="0.25">
      <c r="B767" s="148" t="s">
        <v>234</v>
      </c>
      <c r="C767" s="148" t="s">
        <v>315</v>
      </c>
      <c r="D767" s="148" t="s">
        <v>255</v>
      </c>
      <c r="E767" s="148" t="s">
        <v>360</v>
      </c>
      <c r="F767" s="148" t="s">
        <v>300</v>
      </c>
      <c r="G767" s="349" t="s">
        <v>235</v>
      </c>
      <c r="H767" s="351"/>
      <c r="I767" s="350"/>
    </row>
    <row r="768" spans="2:11" ht="13.5" thickBot="1" x14ac:dyDescent="0.25">
      <c r="B768" s="158">
        <v>1</v>
      </c>
      <c r="C768" s="144">
        <v>3.3</v>
      </c>
      <c r="D768" s="148">
        <v>3.35</v>
      </c>
      <c r="E768" s="148"/>
      <c r="F768" s="148">
        <f>B768*C768*D768</f>
        <v>11.055</v>
      </c>
      <c r="G768" s="349" t="s">
        <v>399</v>
      </c>
      <c r="H768" s="351"/>
      <c r="I768" s="350"/>
    </row>
    <row r="769" spans="2:11" ht="13.5" thickBot="1" x14ac:dyDescent="0.25">
      <c r="B769" s="158">
        <v>1</v>
      </c>
      <c r="C769" s="144">
        <v>1.2</v>
      </c>
      <c r="D769" s="148">
        <v>2.25</v>
      </c>
      <c r="E769" s="148"/>
      <c r="F769" s="148">
        <f>B769*C769*D769</f>
        <v>2.6999999999999997</v>
      </c>
      <c r="G769" s="349" t="s">
        <v>400</v>
      </c>
      <c r="H769" s="351"/>
      <c r="I769" s="350"/>
    </row>
    <row r="770" spans="2:11" ht="13.5" thickBot="1" x14ac:dyDescent="0.25">
      <c r="B770" s="158">
        <v>1</v>
      </c>
      <c r="C770" s="144">
        <v>0.9</v>
      </c>
      <c r="D770" s="144">
        <v>0.9</v>
      </c>
      <c r="E770" s="144"/>
      <c r="F770" s="148">
        <f>B770*C770*D770</f>
        <v>0.81</v>
      </c>
      <c r="G770" s="358" t="s">
        <v>401</v>
      </c>
      <c r="H770" s="358"/>
      <c r="I770" s="358"/>
      <c r="K770" s="143" t="s">
        <v>397</v>
      </c>
    </row>
    <row r="771" spans="2:11" ht="13.5" thickBot="1" x14ac:dyDescent="0.25">
      <c r="B771" s="158">
        <v>2</v>
      </c>
      <c r="C771" s="144">
        <v>1.6</v>
      </c>
      <c r="D771" s="144">
        <v>2.6</v>
      </c>
      <c r="E771" s="144"/>
      <c r="F771" s="148">
        <f>B771*C771*D771</f>
        <v>8.32</v>
      </c>
      <c r="G771" s="358" t="s">
        <v>401</v>
      </c>
      <c r="H771" s="358"/>
      <c r="I771" s="358"/>
      <c r="K771" s="143"/>
    </row>
    <row r="772" spans="2:11" ht="13.5" thickBot="1" x14ac:dyDescent="0.25"/>
    <row r="773" spans="2:11" ht="13.5" thickBot="1" x14ac:dyDescent="0.25">
      <c r="B773" s="345" t="s">
        <v>0</v>
      </c>
      <c r="C773" s="345" t="s">
        <v>9</v>
      </c>
      <c r="D773" s="345" t="s">
        <v>1</v>
      </c>
      <c r="E773" s="345" t="s">
        <v>189</v>
      </c>
      <c r="F773" s="345" t="s">
        <v>8</v>
      </c>
      <c r="G773" s="143"/>
      <c r="H773" s="143"/>
      <c r="I773" s="143"/>
    </row>
    <row r="774" spans="2:11" ht="13.5" thickBot="1" x14ac:dyDescent="0.25">
      <c r="B774" s="345"/>
      <c r="C774" s="345"/>
      <c r="D774" s="345"/>
      <c r="E774" s="345"/>
      <c r="F774" s="345"/>
      <c r="G774" s="143"/>
      <c r="H774" s="143"/>
      <c r="I774" s="143"/>
    </row>
    <row r="775" spans="2:11" ht="13.5" thickBot="1" x14ac:dyDescent="0.25">
      <c r="B775" s="140" t="s">
        <v>111</v>
      </c>
      <c r="C775" s="262" t="s">
        <v>731</v>
      </c>
      <c r="D775" s="135" t="s">
        <v>732</v>
      </c>
      <c r="E775" s="133" t="s">
        <v>12</v>
      </c>
      <c r="F775" s="134">
        <f>SUM(F777:F779)</f>
        <v>21.3</v>
      </c>
      <c r="G775" s="143"/>
      <c r="H775" s="143"/>
      <c r="I775" s="143"/>
    </row>
    <row r="776" spans="2:11" ht="13.5" thickBot="1" x14ac:dyDescent="0.25">
      <c r="B776" s="148" t="s">
        <v>234</v>
      </c>
      <c r="C776" s="148" t="s">
        <v>314</v>
      </c>
      <c r="D776" s="148" t="s">
        <v>255</v>
      </c>
      <c r="E776" s="148"/>
      <c r="F776" s="148" t="s">
        <v>317</v>
      </c>
      <c r="G776" s="349" t="s">
        <v>235</v>
      </c>
      <c r="H776" s="351"/>
      <c r="I776" s="350"/>
    </row>
    <row r="777" spans="2:11" ht="13.5" thickBot="1" x14ac:dyDescent="0.25">
      <c r="B777" s="148"/>
      <c r="C777" s="148"/>
      <c r="D777" s="148">
        <f>2.05+5.2+2.95+2.4</f>
        <v>12.6</v>
      </c>
      <c r="E777" s="148"/>
      <c r="F777" s="148">
        <f>D777</f>
        <v>12.6</v>
      </c>
      <c r="G777" s="388" t="s">
        <v>399</v>
      </c>
      <c r="H777" s="389"/>
      <c r="I777" s="390"/>
    </row>
    <row r="778" spans="2:11" ht="13.5" thickBot="1" x14ac:dyDescent="0.25">
      <c r="B778" s="148"/>
      <c r="C778" s="148"/>
      <c r="D778" s="148">
        <f>0.9+0.9</f>
        <v>1.8</v>
      </c>
      <c r="E778" s="148"/>
      <c r="F778" s="148">
        <f>D778</f>
        <v>1.8</v>
      </c>
      <c r="G778" s="391"/>
      <c r="H778" s="392"/>
      <c r="I778" s="393"/>
    </row>
    <row r="779" spans="2:11" ht="13.5" thickBot="1" x14ac:dyDescent="0.25">
      <c r="B779" s="148"/>
      <c r="C779" s="144"/>
      <c r="D779" s="144">
        <f>2.25+1.2+2.25+1.2</f>
        <v>6.9</v>
      </c>
      <c r="E779" s="144"/>
      <c r="F779" s="148">
        <f>D779</f>
        <v>6.9</v>
      </c>
      <c r="G779" s="352" t="s">
        <v>400</v>
      </c>
      <c r="H779" s="353"/>
      <c r="I779" s="354"/>
      <c r="K779" s="143" t="s">
        <v>397</v>
      </c>
    </row>
    <row r="780" spans="2:11" x14ac:dyDescent="0.2">
      <c r="B780" s="171"/>
      <c r="C780" s="172"/>
      <c r="D780" s="172"/>
      <c r="E780" s="172"/>
      <c r="F780" s="172"/>
      <c r="G780" s="172"/>
      <c r="H780" s="172"/>
      <c r="I780" s="172"/>
    </row>
    <row r="781" spans="2:11" ht="13.5" thickBot="1" x14ac:dyDescent="0.25"/>
    <row r="782" spans="2:11" ht="15.75" thickBot="1" x14ac:dyDescent="0.25">
      <c r="B782" s="145">
        <v>12</v>
      </c>
      <c r="C782" s="384" t="s">
        <v>13</v>
      </c>
      <c r="D782" s="384"/>
      <c r="E782" s="384"/>
      <c r="F782" s="384"/>
      <c r="G782" s="384"/>
      <c r="H782" s="384"/>
      <c r="I782" s="384"/>
    </row>
    <row r="784" spans="2:11" ht="13.5" thickBot="1" x14ac:dyDescent="0.25"/>
    <row r="785" spans="2:11" ht="13.5" thickBot="1" x14ac:dyDescent="0.25">
      <c r="B785" s="345" t="s">
        <v>0</v>
      </c>
      <c r="C785" s="345" t="s">
        <v>9</v>
      </c>
      <c r="D785" s="345" t="s">
        <v>1</v>
      </c>
      <c r="E785" s="345" t="s">
        <v>189</v>
      </c>
      <c r="F785" s="345" t="s">
        <v>8</v>
      </c>
      <c r="G785" s="143"/>
      <c r="H785" s="143"/>
      <c r="I785" s="143"/>
    </row>
    <row r="786" spans="2:11" ht="13.5" thickBot="1" x14ac:dyDescent="0.25">
      <c r="B786" s="345"/>
      <c r="C786" s="345"/>
      <c r="D786" s="345"/>
      <c r="E786" s="345"/>
      <c r="F786" s="345"/>
      <c r="G786" s="143"/>
      <c r="H786" s="143"/>
      <c r="I786" s="143"/>
    </row>
    <row r="787" spans="2:11" ht="48.75" thickBot="1" x14ac:dyDescent="0.25">
      <c r="B787" s="140" t="s">
        <v>20</v>
      </c>
      <c r="C787" s="268">
        <v>87874</v>
      </c>
      <c r="D787" s="135" t="s">
        <v>625</v>
      </c>
      <c r="E787" s="133" t="s">
        <v>10</v>
      </c>
      <c r="F787" s="134">
        <f>SUM(F790:F798)+SUM(F801:F810)+SUM(F813:F820)</f>
        <v>181.77940000000001</v>
      </c>
      <c r="G787" s="143"/>
      <c r="H787" s="143"/>
      <c r="I787" s="143"/>
    </row>
    <row r="788" spans="2:11" ht="13.5" thickBot="1" x14ac:dyDescent="0.25">
      <c r="B788" s="338" t="s">
        <v>371</v>
      </c>
      <c r="C788" s="339"/>
      <c r="D788" s="339"/>
      <c r="E788" s="339"/>
      <c r="F788" s="339"/>
      <c r="G788" s="339"/>
      <c r="H788" s="339"/>
      <c r="I788" s="340"/>
    </row>
    <row r="789" spans="2:11" ht="24.75" thickBot="1" x14ac:dyDescent="0.25">
      <c r="B789" s="148" t="s">
        <v>234</v>
      </c>
      <c r="C789" s="148" t="s">
        <v>314</v>
      </c>
      <c r="D789" s="148" t="s">
        <v>255</v>
      </c>
      <c r="E789" s="148" t="s">
        <v>360</v>
      </c>
      <c r="F789" s="148" t="s">
        <v>300</v>
      </c>
      <c r="G789" s="349" t="s">
        <v>235</v>
      </c>
      <c r="H789" s="351"/>
      <c r="I789" s="350"/>
    </row>
    <row r="790" spans="2:11" ht="13.5" thickBot="1" x14ac:dyDescent="0.25">
      <c r="B790" s="158">
        <v>2</v>
      </c>
      <c r="C790" s="144">
        <v>2.35</v>
      </c>
      <c r="D790" s="144">
        <v>3.55</v>
      </c>
      <c r="E790" s="144">
        <v>1.68</v>
      </c>
      <c r="F790" s="144">
        <f>((C790*D790)-E790)*B790</f>
        <v>13.324999999999999</v>
      </c>
      <c r="G790" s="352" t="s">
        <v>285</v>
      </c>
      <c r="H790" s="353"/>
      <c r="I790" s="354"/>
    </row>
    <row r="791" spans="2:11" ht="13.5" thickBot="1" x14ac:dyDescent="0.25">
      <c r="B791" s="158">
        <v>2</v>
      </c>
      <c r="C791" s="144">
        <v>2.35</v>
      </c>
      <c r="D791" s="144">
        <v>3.55</v>
      </c>
      <c r="E791" s="144">
        <v>1.68</v>
      </c>
      <c r="F791" s="144">
        <f t="shared" ref="F791:F798" si="37">((C791*D791)-E791)*B791</f>
        <v>13.324999999999999</v>
      </c>
      <c r="G791" s="352" t="s">
        <v>286</v>
      </c>
      <c r="H791" s="353"/>
      <c r="I791" s="354"/>
    </row>
    <row r="792" spans="2:11" ht="13.5" thickBot="1" x14ac:dyDescent="0.25">
      <c r="B792" s="158">
        <v>2</v>
      </c>
      <c r="C792" s="144">
        <v>2.35</v>
      </c>
      <c r="D792" s="144">
        <v>5.66</v>
      </c>
      <c r="E792" s="144">
        <f>10*0.63</f>
        <v>6.3</v>
      </c>
      <c r="F792" s="144">
        <f t="shared" si="37"/>
        <v>14.002000000000001</v>
      </c>
      <c r="G792" s="352" t="s">
        <v>287</v>
      </c>
      <c r="H792" s="353"/>
      <c r="I792" s="354"/>
    </row>
    <row r="793" spans="2:11" ht="13.5" thickBot="1" x14ac:dyDescent="0.25">
      <c r="B793" s="158">
        <v>2</v>
      </c>
      <c r="C793" s="144">
        <v>2.35</v>
      </c>
      <c r="D793" s="144">
        <v>2.25</v>
      </c>
      <c r="E793" s="144">
        <v>0.2</v>
      </c>
      <c r="F793" s="144">
        <f t="shared" si="37"/>
        <v>10.175000000000001</v>
      </c>
      <c r="G793" s="352" t="s">
        <v>288</v>
      </c>
      <c r="H793" s="353"/>
      <c r="I793" s="354"/>
    </row>
    <row r="794" spans="2:11" ht="13.5" thickBot="1" x14ac:dyDescent="0.25">
      <c r="B794" s="158">
        <v>2</v>
      </c>
      <c r="C794" s="144">
        <v>2.35</v>
      </c>
      <c r="D794" s="144">
        <v>1.5</v>
      </c>
      <c r="E794" s="144">
        <v>0</v>
      </c>
      <c r="F794" s="144">
        <f t="shared" si="37"/>
        <v>7.0500000000000007</v>
      </c>
      <c r="G794" s="352" t="s">
        <v>289</v>
      </c>
      <c r="H794" s="353"/>
      <c r="I794" s="354"/>
    </row>
    <row r="795" spans="2:11" ht="13.5" thickBot="1" x14ac:dyDescent="0.25">
      <c r="B795" s="158">
        <v>2</v>
      </c>
      <c r="C795" s="144">
        <v>2.35</v>
      </c>
      <c r="D795" s="144">
        <v>2.25</v>
      </c>
      <c r="E795" s="144">
        <v>1.26</v>
      </c>
      <c r="F795" s="144">
        <f t="shared" si="37"/>
        <v>8.0550000000000015</v>
      </c>
      <c r="G795" s="352" t="s">
        <v>290</v>
      </c>
      <c r="H795" s="353"/>
      <c r="I795" s="354"/>
    </row>
    <row r="796" spans="2:11" ht="13.5" thickBot="1" x14ac:dyDescent="0.25">
      <c r="B796" s="158">
        <v>2</v>
      </c>
      <c r="C796" s="144">
        <v>2.35</v>
      </c>
      <c r="D796" s="144">
        <v>0.9</v>
      </c>
      <c r="E796" s="144">
        <v>1.86</v>
      </c>
      <c r="F796" s="144">
        <f t="shared" si="37"/>
        <v>0.51000000000000023</v>
      </c>
      <c r="G796" s="352" t="s">
        <v>291</v>
      </c>
      <c r="H796" s="353"/>
      <c r="I796" s="354"/>
    </row>
    <row r="797" spans="2:11" ht="13.5" thickBot="1" x14ac:dyDescent="0.25">
      <c r="B797" s="158">
        <v>2</v>
      </c>
      <c r="C797" s="144">
        <v>2.5</v>
      </c>
      <c r="D797" s="144">
        <v>2</v>
      </c>
      <c r="E797" s="144">
        <v>2.56</v>
      </c>
      <c r="F797" s="144">
        <f t="shared" si="37"/>
        <v>4.88</v>
      </c>
      <c r="G797" s="352" t="s">
        <v>292</v>
      </c>
      <c r="H797" s="353"/>
      <c r="I797" s="354"/>
    </row>
    <row r="798" spans="2:11" ht="13.5" thickBot="1" x14ac:dyDescent="0.25">
      <c r="B798" s="158">
        <v>2</v>
      </c>
      <c r="C798" s="144">
        <v>2.5</v>
      </c>
      <c r="D798" s="144">
        <v>2</v>
      </c>
      <c r="E798" s="144">
        <v>2.56</v>
      </c>
      <c r="F798" s="144">
        <f t="shared" si="37"/>
        <v>4.88</v>
      </c>
      <c r="G798" s="352" t="s">
        <v>335</v>
      </c>
      <c r="H798" s="353"/>
      <c r="I798" s="354"/>
      <c r="J798" s="156">
        <f>SUM(F790:F798)</f>
        <v>76.201999999999998</v>
      </c>
      <c r="K798" s="143" t="s">
        <v>359</v>
      </c>
    </row>
    <row r="799" spans="2:11" ht="13.5" thickBot="1" x14ac:dyDescent="0.25">
      <c r="B799" s="338" t="s">
        <v>372</v>
      </c>
      <c r="C799" s="339"/>
      <c r="D799" s="339"/>
      <c r="E799" s="339"/>
      <c r="F799" s="339"/>
      <c r="G799" s="339"/>
      <c r="H799" s="339"/>
      <c r="I799" s="340"/>
    </row>
    <row r="800" spans="2:11" ht="24.75" thickBot="1" x14ac:dyDescent="0.25">
      <c r="B800" s="148" t="s">
        <v>234</v>
      </c>
      <c r="C800" s="148" t="s">
        <v>314</v>
      </c>
      <c r="D800" s="148" t="s">
        <v>255</v>
      </c>
      <c r="E800" s="148" t="s">
        <v>360</v>
      </c>
      <c r="F800" s="148" t="s">
        <v>300</v>
      </c>
      <c r="G800" s="349" t="s">
        <v>235</v>
      </c>
      <c r="H800" s="351"/>
      <c r="I800" s="350"/>
    </row>
    <row r="801" spans="2:11" ht="13.5" thickBot="1" x14ac:dyDescent="0.25">
      <c r="B801" s="158">
        <v>1</v>
      </c>
      <c r="C801" s="144">
        <v>2.5</v>
      </c>
      <c r="D801" s="144">
        <v>2.4300000000000002</v>
      </c>
      <c r="E801" s="144">
        <f>0.66*2.13</f>
        <v>1.4057999999999999</v>
      </c>
      <c r="F801" s="144">
        <f>(C801*D801)-E801</f>
        <v>4.6692</v>
      </c>
      <c r="G801" s="352" t="s">
        <v>285</v>
      </c>
      <c r="H801" s="353"/>
      <c r="I801" s="354"/>
    </row>
    <row r="802" spans="2:11" ht="13.5" thickBot="1" x14ac:dyDescent="0.25">
      <c r="B802" s="158">
        <v>1</v>
      </c>
      <c r="C802" s="144">
        <v>2.5</v>
      </c>
      <c r="D802" s="144">
        <v>1.5</v>
      </c>
      <c r="E802" s="144"/>
      <c r="F802" s="144">
        <f t="shared" ref="F802:F810" si="38">(C802*D802)-E802</f>
        <v>3.75</v>
      </c>
      <c r="G802" s="352" t="s">
        <v>286</v>
      </c>
      <c r="H802" s="353"/>
      <c r="I802" s="354"/>
    </row>
    <row r="803" spans="2:11" ht="13.5" thickBot="1" x14ac:dyDescent="0.25">
      <c r="B803" s="158">
        <v>1</v>
      </c>
      <c r="C803" s="144">
        <v>2.5</v>
      </c>
      <c r="D803" s="144">
        <v>0.9</v>
      </c>
      <c r="E803" s="144">
        <f>0.9*2.1</f>
        <v>1.8900000000000001</v>
      </c>
      <c r="F803" s="144">
        <f t="shared" si="38"/>
        <v>0.35999999999999988</v>
      </c>
      <c r="G803" s="352" t="s">
        <v>287</v>
      </c>
      <c r="H803" s="353"/>
      <c r="I803" s="354"/>
    </row>
    <row r="804" spans="2:11" ht="13.5" thickBot="1" x14ac:dyDescent="0.25">
      <c r="B804" s="158">
        <v>1</v>
      </c>
      <c r="C804" s="144">
        <v>2.5</v>
      </c>
      <c r="D804" s="144">
        <v>3.55</v>
      </c>
      <c r="E804" s="144">
        <f>1.4*1.2</f>
        <v>1.68</v>
      </c>
      <c r="F804" s="144">
        <f t="shared" si="38"/>
        <v>7.1950000000000003</v>
      </c>
      <c r="G804" s="352" t="s">
        <v>288</v>
      </c>
      <c r="H804" s="353"/>
      <c r="I804" s="354"/>
    </row>
    <row r="805" spans="2:11" ht="13.5" thickBot="1" x14ac:dyDescent="0.25">
      <c r="B805" s="158">
        <v>1</v>
      </c>
      <c r="C805" s="144">
        <v>2.5</v>
      </c>
      <c r="D805" s="144">
        <v>5.2</v>
      </c>
      <c r="E805" s="144">
        <v>6.3</v>
      </c>
      <c r="F805" s="144">
        <f t="shared" si="38"/>
        <v>6.7</v>
      </c>
      <c r="G805" s="352" t="s">
        <v>289</v>
      </c>
      <c r="H805" s="353"/>
      <c r="I805" s="354"/>
    </row>
    <row r="806" spans="2:11" ht="13.5" thickBot="1" x14ac:dyDescent="0.25">
      <c r="B806" s="158">
        <v>1</v>
      </c>
      <c r="C806" s="144">
        <v>2.5</v>
      </c>
      <c r="D806" s="144">
        <v>2.0499999999999998</v>
      </c>
      <c r="E806" s="144">
        <f>1.4*1.2</f>
        <v>1.68</v>
      </c>
      <c r="F806" s="144">
        <f t="shared" si="38"/>
        <v>3.4450000000000003</v>
      </c>
      <c r="G806" s="352" t="s">
        <v>290</v>
      </c>
      <c r="H806" s="353"/>
      <c r="I806" s="354"/>
    </row>
    <row r="807" spans="2:11" ht="13.5" thickBot="1" x14ac:dyDescent="0.25">
      <c r="B807" s="158">
        <v>1</v>
      </c>
      <c r="C807" s="144">
        <v>2.5</v>
      </c>
      <c r="D807" s="144">
        <v>2.25</v>
      </c>
      <c r="E807" s="144">
        <f>0.66*2.13</f>
        <v>1.4057999999999999</v>
      </c>
      <c r="F807" s="144">
        <f t="shared" si="38"/>
        <v>4.2191999999999998</v>
      </c>
      <c r="G807" s="352" t="s">
        <v>291</v>
      </c>
      <c r="H807" s="353"/>
      <c r="I807" s="354"/>
    </row>
    <row r="808" spans="2:11" ht="13.5" thickBot="1" x14ac:dyDescent="0.25">
      <c r="B808" s="158">
        <v>1</v>
      </c>
      <c r="C808" s="144">
        <v>2.5</v>
      </c>
      <c r="D808" s="144">
        <v>2.25</v>
      </c>
      <c r="E808" s="144">
        <v>0.02</v>
      </c>
      <c r="F808" s="144">
        <f t="shared" si="38"/>
        <v>5.6050000000000004</v>
      </c>
      <c r="G808" s="352" t="s">
        <v>292</v>
      </c>
      <c r="H808" s="353"/>
      <c r="I808" s="354"/>
    </row>
    <row r="809" spans="2:11" ht="13.5" thickBot="1" x14ac:dyDescent="0.25">
      <c r="B809" s="158">
        <v>1</v>
      </c>
      <c r="C809" s="144">
        <v>2.5</v>
      </c>
      <c r="D809" s="144">
        <v>1.2</v>
      </c>
      <c r="E809" s="144"/>
      <c r="F809" s="144">
        <f t="shared" si="38"/>
        <v>3</v>
      </c>
      <c r="G809" s="352" t="s">
        <v>335</v>
      </c>
      <c r="H809" s="353"/>
      <c r="I809" s="354"/>
    </row>
    <row r="810" spans="2:11" ht="13.5" thickBot="1" x14ac:dyDescent="0.25">
      <c r="B810" s="158">
        <v>1</v>
      </c>
      <c r="C810" s="144">
        <v>2.5</v>
      </c>
      <c r="D810" s="144">
        <v>1.2</v>
      </c>
      <c r="E810" s="144"/>
      <c r="F810" s="144">
        <f t="shared" si="38"/>
        <v>3</v>
      </c>
      <c r="G810" s="352" t="s">
        <v>336</v>
      </c>
      <c r="H810" s="353"/>
      <c r="I810" s="354"/>
      <c r="J810" s="156">
        <f>SUM(F801:F810)</f>
        <v>41.943399999999997</v>
      </c>
      <c r="K810" s="143" t="s">
        <v>373</v>
      </c>
    </row>
    <row r="811" spans="2:11" ht="13.5" thickBot="1" x14ac:dyDescent="0.25">
      <c r="B811" s="338" t="s">
        <v>374</v>
      </c>
      <c r="C811" s="339"/>
      <c r="D811" s="339"/>
      <c r="E811" s="339"/>
      <c r="F811" s="339"/>
      <c r="G811" s="339"/>
      <c r="H811" s="339"/>
      <c r="I811" s="340"/>
    </row>
    <row r="812" spans="2:11" ht="24.75" thickBot="1" x14ac:dyDescent="0.25">
      <c r="B812" s="148" t="s">
        <v>234</v>
      </c>
      <c r="C812" s="148" t="s">
        <v>314</v>
      </c>
      <c r="D812" s="148" t="s">
        <v>255</v>
      </c>
      <c r="E812" s="148" t="s">
        <v>360</v>
      </c>
      <c r="F812" s="148" t="s">
        <v>300</v>
      </c>
      <c r="G812" s="349" t="s">
        <v>235</v>
      </c>
      <c r="H812" s="351"/>
      <c r="I812" s="350"/>
    </row>
    <row r="813" spans="2:11" ht="13.5" thickBot="1" x14ac:dyDescent="0.25">
      <c r="B813" s="158">
        <v>1</v>
      </c>
      <c r="C813" s="158">
        <v>3.4</v>
      </c>
      <c r="D813" s="158">
        <v>3.55</v>
      </c>
      <c r="E813" s="158">
        <v>1.68</v>
      </c>
      <c r="F813" s="144">
        <f>(C813*D813)-E813</f>
        <v>10.389999999999999</v>
      </c>
      <c r="G813" s="352" t="s">
        <v>285</v>
      </c>
      <c r="H813" s="353"/>
      <c r="I813" s="354"/>
    </row>
    <row r="814" spans="2:11" ht="13.5" thickBot="1" x14ac:dyDescent="0.25">
      <c r="B814" s="158">
        <v>1</v>
      </c>
      <c r="C814" s="158">
        <v>3.4</v>
      </c>
      <c r="D814" s="158">
        <v>3.55</v>
      </c>
      <c r="E814" s="158">
        <v>1.68</v>
      </c>
      <c r="F814" s="144">
        <f t="shared" ref="F814:F820" si="39">(C814*D814)-E814</f>
        <v>10.389999999999999</v>
      </c>
      <c r="G814" s="352" t="s">
        <v>286</v>
      </c>
      <c r="H814" s="353"/>
      <c r="I814" s="354"/>
    </row>
    <row r="815" spans="2:11" ht="13.5" thickBot="1" x14ac:dyDescent="0.25">
      <c r="B815" s="158">
        <v>1</v>
      </c>
      <c r="C815" s="158">
        <v>3.4</v>
      </c>
      <c r="D815" s="158">
        <v>3.6</v>
      </c>
      <c r="E815" s="158">
        <f>0.9*2.1+0.4*0.5</f>
        <v>2.0900000000000003</v>
      </c>
      <c r="F815" s="144">
        <f t="shared" si="39"/>
        <v>10.15</v>
      </c>
      <c r="G815" s="352" t="s">
        <v>287</v>
      </c>
      <c r="H815" s="353"/>
      <c r="I815" s="354"/>
    </row>
    <row r="816" spans="2:11" ht="13.5" thickBot="1" x14ac:dyDescent="0.25">
      <c r="B816" s="158">
        <v>1</v>
      </c>
      <c r="C816" s="158">
        <v>3.4</v>
      </c>
      <c r="D816" s="158">
        <f>2.83*2</f>
        <v>5.66</v>
      </c>
      <c r="E816" s="158">
        <v>6.3</v>
      </c>
      <c r="F816" s="144">
        <f t="shared" si="39"/>
        <v>12.943999999999999</v>
      </c>
      <c r="G816" s="352" t="s">
        <v>288</v>
      </c>
      <c r="H816" s="353"/>
      <c r="I816" s="354"/>
    </row>
    <row r="817" spans="2:11" ht="13.5" thickBot="1" x14ac:dyDescent="0.25">
      <c r="B817" s="158">
        <v>1</v>
      </c>
      <c r="C817" s="158">
        <v>2.7</v>
      </c>
      <c r="D817" s="158">
        <v>2.6</v>
      </c>
      <c r="E817" s="158">
        <v>2.56</v>
      </c>
      <c r="F817" s="144">
        <f t="shared" si="39"/>
        <v>4.4600000000000009</v>
      </c>
      <c r="G817" s="352" t="s">
        <v>289</v>
      </c>
      <c r="H817" s="353"/>
      <c r="I817" s="354"/>
    </row>
    <row r="818" spans="2:11" ht="13.5" thickBot="1" x14ac:dyDescent="0.25">
      <c r="B818" s="158">
        <v>1</v>
      </c>
      <c r="C818" s="158">
        <v>2.85</v>
      </c>
      <c r="D818" s="158">
        <v>2.8</v>
      </c>
      <c r="E818" s="158">
        <v>2.56</v>
      </c>
      <c r="F818" s="144">
        <f t="shared" si="39"/>
        <v>5.42</v>
      </c>
      <c r="G818" s="352" t="s">
        <v>290</v>
      </c>
      <c r="H818" s="353"/>
      <c r="I818" s="354"/>
    </row>
    <row r="819" spans="2:11" ht="13.5" thickBot="1" x14ac:dyDescent="0.25">
      <c r="B819" s="158">
        <v>1</v>
      </c>
      <c r="C819" s="158">
        <v>2.7</v>
      </c>
      <c r="D819" s="158">
        <v>2.6</v>
      </c>
      <c r="E819" s="158">
        <v>2.56</v>
      </c>
      <c r="F819" s="144">
        <f t="shared" si="39"/>
        <v>4.4600000000000009</v>
      </c>
      <c r="G819" s="352" t="s">
        <v>291</v>
      </c>
      <c r="H819" s="353"/>
      <c r="I819" s="354"/>
    </row>
    <row r="820" spans="2:11" ht="13.5" thickBot="1" x14ac:dyDescent="0.25">
      <c r="B820" s="158">
        <v>1</v>
      </c>
      <c r="C820" s="158">
        <v>2.85</v>
      </c>
      <c r="D820" s="158">
        <v>2.8</v>
      </c>
      <c r="E820" s="158">
        <v>2.56</v>
      </c>
      <c r="F820" s="144">
        <f t="shared" si="39"/>
        <v>5.42</v>
      </c>
      <c r="G820" s="352" t="s">
        <v>292</v>
      </c>
      <c r="H820" s="353"/>
      <c r="I820" s="354"/>
      <c r="J820" s="156">
        <f>SUM(F813:F820)</f>
        <v>63.634</v>
      </c>
      <c r="K820" s="143" t="s">
        <v>373</v>
      </c>
    </row>
    <row r="821" spans="2:11" ht="13.5" thickBot="1" x14ac:dyDescent="0.25"/>
    <row r="822" spans="2:11" ht="13.5" thickBot="1" x14ac:dyDescent="0.25">
      <c r="B822" s="345" t="s">
        <v>0</v>
      </c>
      <c r="C822" s="345" t="s">
        <v>9</v>
      </c>
      <c r="D822" s="345" t="s">
        <v>1</v>
      </c>
      <c r="E822" s="345" t="s">
        <v>189</v>
      </c>
      <c r="F822" s="345" t="s">
        <v>8</v>
      </c>
      <c r="G822" s="143"/>
      <c r="H822" s="143"/>
      <c r="I822" s="143"/>
    </row>
    <row r="823" spans="2:11" ht="13.5" thickBot="1" x14ac:dyDescent="0.25">
      <c r="B823" s="345"/>
      <c r="C823" s="345"/>
      <c r="D823" s="345"/>
      <c r="E823" s="345"/>
      <c r="F823" s="345"/>
      <c r="G823" s="143"/>
      <c r="H823" s="143"/>
      <c r="I823" s="143"/>
    </row>
    <row r="824" spans="2:11" ht="48.75" thickBot="1" x14ac:dyDescent="0.25">
      <c r="B824" s="140" t="s">
        <v>38</v>
      </c>
      <c r="C824" s="262">
        <v>87882</v>
      </c>
      <c r="D824" s="135" t="s">
        <v>626</v>
      </c>
      <c r="E824" s="133" t="s">
        <v>10</v>
      </c>
      <c r="F824" s="134">
        <f>SUM(F826:F829)</f>
        <v>23.814325</v>
      </c>
      <c r="G824" s="143"/>
      <c r="H824" s="143"/>
      <c r="I824" s="143"/>
    </row>
    <row r="825" spans="2:11" ht="13.5" thickBot="1" x14ac:dyDescent="0.25">
      <c r="B825" s="148" t="s">
        <v>234</v>
      </c>
      <c r="C825" s="136"/>
      <c r="D825" s="136" t="s">
        <v>255</v>
      </c>
      <c r="E825" s="136" t="s">
        <v>315</v>
      </c>
      <c r="F825" s="136" t="s">
        <v>300</v>
      </c>
      <c r="G825" s="375" t="s">
        <v>235</v>
      </c>
      <c r="H825" s="376"/>
      <c r="I825" s="377"/>
    </row>
    <row r="826" spans="2:11" ht="13.5" thickBot="1" x14ac:dyDescent="0.25">
      <c r="B826" s="167">
        <v>1</v>
      </c>
      <c r="C826" s="162"/>
      <c r="D826" s="163">
        <v>2.6</v>
      </c>
      <c r="E826" s="162">
        <v>1.6</v>
      </c>
      <c r="F826" s="162">
        <f>B826*D826*E826</f>
        <v>4.16</v>
      </c>
      <c r="G826" s="361" t="s">
        <v>295</v>
      </c>
      <c r="H826" s="362"/>
      <c r="I826" s="363"/>
    </row>
    <row r="827" spans="2:11" ht="13.5" thickBot="1" x14ac:dyDescent="0.25">
      <c r="B827" s="167">
        <v>1</v>
      </c>
      <c r="C827" s="162"/>
      <c r="D827" s="163">
        <v>3.3</v>
      </c>
      <c r="E827" s="162">
        <v>3.4</v>
      </c>
      <c r="F827" s="162">
        <f>B827*D827*E827</f>
        <v>11.219999999999999</v>
      </c>
      <c r="G827" s="361" t="s">
        <v>296</v>
      </c>
      <c r="H827" s="362"/>
      <c r="I827" s="363"/>
    </row>
    <row r="828" spans="2:11" ht="13.5" thickBot="1" x14ac:dyDescent="0.25">
      <c r="B828" s="167">
        <v>1</v>
      </c>
      <c r="C828" s="162" t="s">
        <v>441</v>
      </c>
      <c r="D828" s="163">
        <v>1.65</v>
      </c>
      <c r="E828" s="162"/>
      <c r="F828" s="163">
        <f>(3.14*(D828^2))/2</f>
        <v>4.2743249999999993</v>
      </c>
      <c r="G828" s="361" t="s">
        <v>296</v>
      </c>
      <c r="H828" s="362"/>
      <c r="I828" s="363"/>
    </row>
    <row r="829" spans="2:11" ht="13.5" thickBot="1" x14ac:dyDescent="0.25">
      <c r="B829" s="167">
        <v>1</v>
      </c>
      <c r="C829" s="162"/>
      <c r="D829" s="163">
        <v>2.6</v>
      </c>
      <c r="E829" s="162">
        <v>1.6</v>
      </c>
      <c r="F829" s="162">
        <f>B829*D829*E829</f>
        <v>4.16</v>
      </c>
      <c r="G829" s="361" t="s">
        <v>301</v>
      </c>
      <c r="H829" s="362"/>
      <c r="I829" s="363"/>
      <c r="K829" s="143" t="s">
        <v>359</v>
      </c>
    </row>
    <row r="830" spans="2:11" ht="13.5" thickBot="1" x14ac:dyDescent="0.25"/>
    <row r="831" spans="2:11" ht="13.5" thickBot="1" x14ac:dyDescent="0.25">
      <c r="B831" s="345" t="s">
        <v>0</v>
      </c>
      <c r="C831" s="345" t="s">
        <v>9</v>
      </c>
      <c r="D831" s="345" t="s">
        <v>1</v>
      </c>
      <c r="E831" s="345" t="s">
        <v>189</v>
      </c>
      <c r="F831" s="345" t="s">
        <v>8</v>
      </c>
      <c r="G831" s="143"/>
      <c r="H831" s="143"/>
      <c r="I831" s="143"/>
    </row>
    <row r="832" spans="2:11" ht="13.5" thickBot="1" x14ac:dyDescent="0.25">
      <c r="B832" s="345"/>
      <c r="C832" s="345"/>
      <c r="D832" s="345"/>
      <c r="E832" s="345"/>
      <c r="F832" s="345"/>
      <c r="G832" s="143"/>
      <c r="H832" s="143"/>
      <c r="I832" s="143"/>
    </row>
    <row r="833" spans="2:9" ht="60.75" thickBot="1" x14ac:dyDescent="0.25">
      <c r="B833" s="140" t="s">
        <v>116</v>
      </c>
      <c r="C833" s="262">
        <v>87529</v>
      </c>
      <c r="D833" s="135" t="s">
        <v>628</v>
      </c>
      <c r="E833" s="133" t="s">
        <v>10</v>
      </c>
      <c r="F833" s="134">
        <f>SUM(F835:F844)</f>
        <v>46.449400000000004</v>
      </c>
      <c r="G833" s="143"/>
      <c r="H833" s="143"/>
      <c r="I833" s="143"/>
    </row>
    <row r="834" spans="2:9" ht="24.75" thickBot="1" x14ac:dyDescent="0.25">
      <c r="B834" s="148" t="s">
        <v>234</v>
      </c>
      <c r="C834" s="148" t="s">
        <v>314</v>
      </c>
      <c r="D834" s="148" t="s">
        <v>255</v>
      </c>
      <c r="E834" s="148" t="s">
        <v>360</v>
      </c>
      <c r="F834" s="148" t="s">
        <v>300</v>
      </c>
      <c r="G834" s="349" t="s">
        <v>235</v>
      </c>
      <c r="H834" s="351"/>
      <c r="I834" s="350"/>
    </row>
    <row r="835" spans="2:9" ht="13.5" thickBot="1" x14ac:dyDescent="0.25">
      <c r="B835" s="158">
        <v>1</v>
      </c>
      <c r="C835" s="158">
        <v>2.7</v>
      </c>
      <c r="D835" s="158">
        <v>2.4300000000000002</v>
      </c>
      <c r="E835" s="158">
        <f>0.66*2.13</f>
        <v>1.4057999999999999</v>
      </c>
      <c r="F835" s="144">
        <f>(C835*D835)-E835</f>
        <v>5.1552000000000007</v>
      </c>
      <c r="G835" s="352" t="s">
        <v>285</v>
      </c>
      <c r="H835" s="353"/>
      <c r="I835" s="354"/>
    </row>
    <row r="836" spans="2:9" ht="13.5" thickBot="1" x14ac:dyDescent="0.25">
      <c r="B836" s="158">
        <v>1</v>
      </c>
      <c r="C836" s="158">
        <v>2.7</v>
      </c>
      <c r="D836" s="158">
        <v>1.5</v>
      </c>
      <c r="E836" s="158"/>
      <c r="F836" s="144">
        <f t="shared" ref="F836:F844" si="40">(C836*D836)-E836</f>
        <v>4.0500000000000007</v>
      </c>
      <c r="G836" s="352" t="s">
        <v>286</v>
      </c>
      <c r="H836" s="353"/>
      <c r="I836" s="354"/>
    </row>
    <row r="837" spans="2:9" ht="13.5" thickBot="1" x14ac:dyDescent="0.25">
      <c r="B837" s="158">
        <v>1</v>
      </c>
      <c r="C837" s="158">
        <v>2.7</v>
      </c>
      <c r="D837" s="158">
        <v>0.9</v>
      </c>
      <c r="E837" s="158">
        <f>0.9*2.1</f>
        <v>1.8900000000000001</v>
      </c>
      <c r="F837" s="144">
        <f t="shared" si="40"/>
        <v>0.54</v>
      </c>
      <c r="G837" s="352" t="s">
        <v>287</v>
      </c>
      <c r="H837" s="353"/>
      <c r="I837" s="354"/>
    </row>
    <row r="838" spans="2:9" ht="13.5" thickBot="1" x14ac:dyDescent="0.25">
      <c r="B838" s="158">
        <v>1</v>
      </c>
      <c r="C838" s="158">
        <v>2.7</v>
      </c>
      <c r="D838" s="158">
        <v>3.55</v>
      </c>
      <c r="E838" s="158">
        <f>1.4*1.2</f>
        <v>1.68</v>
      </c>
      <c r="F838" s="144">
        <f t="shared" si="40"/>
        <v>7.9050000000000011</v>
      </c>
      <c r="G838" s="352" t="s">
        <v>288</v>
      </c>
      <c r="H838" s="353"/>
      <c r="I838" s="354"/>
    </row>
    <row r="839" spans="2:9" ht="13.5" thickBot="1" x14ac:dyDescent="0.25">
      <c r="B839" s="158">
        <v>1</v>
      </c>
      <c r="C839" s="158">
        <v>2.7</v>
      </c>
      <c r="D839" s="158">
        <v>5.2</v>
      </c>
      <c r="E839" s="158">
        <v>6.3</v>
      </c>
      <c r="F839" s="144">
        <f t="shared" si="40"/>
        <v>7.7400000000000011</v>
      </c>
      <c r="G839" s="352" t="s">
        <v>289</v>
      </c>
      <c r="H839" s="353"/>
      <c r="I839" s="354"/>
    </row>
    <row r="840" spans="2:9" ht="13.5" thickBot="1" x14ac:dyDescent="0.25">
      <c r="B840" s="158">
        <v>1</v>
      </c>
      <c r="C840" s="158">
        <v>2.7</v>
      </c>
      <c r="D840" s="158">
        <v>2.0499999999999998</v>
      </c>
      <c r="E840" s="158">
        <f>1.4*1.2</f>
        <v>1.68</v>
      </c>
      <c r="F840" s="144">
        <f t="shared" si="40"/>
        <v>3.8550000000000004</v>
      </c>
      <c r="G840" s="352" t="s">
        <v>290</v>
      </c>
      <c r="H840" s="353"/>
      <c r="I840" s="354"/>
    </row>
    <row r="841" spans="2:9" ht="13.5" thickBot="1" x14ac:dyDescent="0.25">
      <c r="B841" s="158">
        <v>1</v>
      </c>
      <c r="C841" s="158">
        <v>2.7</v>
      </c>
      <c r="D841" s="158">
        <v>2.25</v>
      </c>
      <c r="E841" s="158">
        <f>0.66*2.13</f>
        <v>1.4057999999999999</v>
      </c>
      <c r="F841" s="144">
        <f t="shared" si="40"/>
        <v>4.6692</v>
      </c>
      <c r="G841" s="352" t="s">
        <v>291</v>
      </c>
      <c r="H841" s="353"/>
      <c r="I841" s="354"/>
    </row>
    <row r="842" spans="2:9" ht="13.5" thickBot="1" x14ac:dyDescent="0.25">
      <c r="B842" s="158">
        <v>1</v>
      </c>
      <c r="C842" s="158">
        <v>2.7</v>
      </c>
      <c r="D842" s="158">
        <v>2.25</v>
      </c>
      <c r="E842" s="158">
        <v>0.02</v>
      </c>
      <c r="F842" s="144">
        <f t="shared" si="40"/>
        <v>6.0550000000000006</v>
      </c>
      <c r="G842" s="352" t="s">
        <v>292</v>
      </c>
      <c r="H842" s="353"/>
      <c r="I842" s="354"/>
    </row>
    <row r="843" spans="2:9" ht="13.5" thickBot="1" x14ac:dyDescent="0.25">
      <c r="B843" s="158">
        <v>1</v>
      </c>
      <c r="C843" s="158">
        <v>2.7</v>
      </c>
      <c r="D843" s="158">
        <v>1.2</v>
      </c>
      <c r="E843" s="158"/>
      <c r="F843" s="144">
        <f t="shared" si="40"/>
        <v>3.24</v>
      </c>
      <c r="G843" s="352" t="s">
        <v>335</v>
      </c>
      <c r="H843" s="353"/>
      <c r="I843" s="354"/>
    </row>
    <row r="844" spans="2:9" ht="13.5" thickBot="1" x14ac:dyDescent="0.25">
      <c r="B844" s="158">
        <v>1</v>
      </c>
      <c r="C844" s="158">
        <v>2.7</v>
      </c>
      <c r="D844" s="158">
        <v>1.2</v>
      </c>
      <c r="E844" s="158"/>
      <c r="F844" s="144">
        <f t="shared" si="40"/>
        <v>3.24</v>
      </c>
      <c r="G844" s="352" t="s">
        <v>336</v>
      </c>
      <c r="H844" s="353"/>
      <c r="I844" s="354"/>
    </row>
    <row r="845" spans="2:9" ht="13.5" thickBot="1" x14ac:dyDescent="0.25"/>
    <row r="846" spans="2:9" ht="13.5" thickBot="1" x14ac:dyDescent="0.25">
      <c r="B846" s="345" t="s">
        <v>0</v>
      </c>
      <c r="C846" s="345" t="s">
        <v>9</v>
      </c>
      <c r="D846" s="345" t="s">
        <v>1</v>
      </c>
      <c r="E846" s="345" t="s">
        <v>189</v>
      </c>
      <c r="F846" s="345" t="s">
        <v>8</v>
      </c>
      <c r="G846" s="143"/>
      <c r="H846" s="143"/>
      <c r="I846" s="143"/>
    </row>
    <row r="847" spans="2:9" ht="13.5" thickBot="1" x14ac:dyDescent="0.25">
      <c r="B847" s="345"/>
      <c r="C847" s="345"/>
      <c r="D847" s="345"/>
      <c r="E847" s="345"/>
      <c r="F847" s="345"/>
      <c r="G847" s="143"/>
      <c r="H847" s="143"/>
      <c r="I847" s="143"/>
    </row>
    <row r="848" spans="2:9" ht="48.75" thickBot="1" x14ac:dyDescent="0.25">
      <c r="B848" s="140" t="s">
        <v>117</v>
      </c>
      <c r="C848" s="262">
        <v>90408</v>
      </c>
      <c r="D848" s="135" t="s">
        <v>627</v>
      </c>
      <c r="E848" s="133" t="s">
        <v>10</v>
      </c>
      <c r="F848" s="134">
        <f>SUM(F851:F854)+SUM(F857:F864)+SUM(F867:F876)</f>
        <v>155.07232500000001</v>
      </c>
      <c r="G848" s="143"/>
      <c r="H848" s="143"/>
      <c r="I848" s="143"/>
    </row>
    <row r="849" spans="2:11" ht="13.5" thickBot="1" x14ac:dyDescent="0.25">
      <c r="B849" s="338" t="s">
        <v>294</v>
      </c>
      <c r="C849" s="339"/>
      <c r="D849" s="339"/>
      <c r="E849" s="339"/>
      <c r="F849" s="339"/>
      <c r="G849" s="339"/>
      <c r="H849" s="339"/>
      <c r="I849" s="340"/>
    </row>
    <row r="850" spans="2:11" ht="13.5" customHeight="1" thickBot="1" x14ac:dyDescent="0.25">
      <c r="B850" s="148" t="s">
        <v>234</v>
      </c>
      <c r="C850" s="136"/>
      <c r="D850" s="136" t="s">
        <v>255</v>
      </c>
      <c r="E850" s="136" t="s">
        <v>315</v>
      </c>
      <c r="F850" s="136" t="s">
        <v>300</v>
      </c>
      <c r="G850" s="375" t="s">
        <v>235</v>
      </c>
      <c r="H850" s="376"/>
      <c r="I850" s="377"/>
    </row>
    <row r="851" spans="2:11" ht="13.5" thickBot="1" x14ac:dyDescent="0.25">
      <c r="B851" s="167">
        <v>1</v>
      </c>
      <c r="C851" s="162"/>
      <c r="D851" s="163">
        <v>2.6</v>
      </c>
      <c r="E851" s="162">
        <v>1.6</v>
      </c>
      <c r="F851" s="162">
        <f>B851*D851*E851</f>
        <v>4.16</v>
      </c>
      <c r="G851" s="361" t="s">
        <v>295</v>
      </c>
      <c r="H851" s="362"/>
      <c r="I851" s="363"/>
    </row>
    <row r="852" spans="2:11" ht="13.5" thickBot="1" x14ac:dyDescent="0.25">
      <c r="B852" s="167">
        <v>1</v>
      </c>
      <c r="C852" s="162"/>
      <c r="D852" s="163">
        <v>3.3</v>
      </c>
      <c r="E852" s="162">
        <v>3.4</v>
      </c>
      <c r="F852" s="162">
        <f>B852*D852*E852</f>
        <v>11.219999999999999</v>
      </c>
      <c r="G852" s="361" t="s">
        <v>296</v>
      </c>
      <c r="H852" s="362"/>
      <c r="I852" s="363"/>
    </row>
    <row r="853" spans="2:11" ht="13.5" thickBot="1" x14ac:dyDescent="0.25">
      <c r="B853" s="167">
        <v>1</v>
      </c>
      <c r="C853" s="162" t="s">
        <v>441</v>
      </c>
      <c r="D853" s="163">
        <v>1.65</v>
      </c>
      <c r="E853" s="162"/>
      <c r="F853" s="163">
        <f>(3.14*(D853^2))/2</f>
        <v>4.2743249999999993</v>
      </c>
      <c r="G853" s="361" t="s">
        <v>296</v>
      </c>
      <c r="H853" s="362"/>
      <c r="I853" s="363"/>
    </row>
    <row r="854" spans="2:11" ht="13.5" thickBot="1" x14ac:dyDescent="0.25">
      <c r="B854" s="167">
        <v>1</v>
      </c>
      <c r="C854" s="162"/>
      <c r="D854" s="163">
        <v>2.6</v>
      </c>
      <c r="E854" s="162">
        <v>1.6</v>
      </c>
      <c r="F854" s="162">
        <f>B854*D854*E854</f>
        <v>4.16</v>
      </c>
      <c r="G854" s="361" t="s">
        <v>301</v>
      </c>
      <c r="H854" s="362"/>
      <c r="I854" s="363"/>
      <c r="K854" s="143" t="s">
        <v>359</v>
      </c>
    </row>
    <row r="855" spans="2:11" ht="13.5" thickBot="1" x14ac:dyDescent="0.25">
      <c r="B855" s="338" t="s">
        <v>375</v>
      </c>
      <c r="C855" s="339"/>
      <c r="D855" s="339"/>
      <c r="E855" s="339"/>
      <c r="F855" s="339"/>
      <c r="G855" s="339"/>
      <c r="H855" s="339"/>
      <c r="I855" s="340"/>
    </row>
    <row r="856" spans="2:11" ht="24.75" thickBot="1" x14ac:dyDescent="0.25">
      <c r="B856" s="148" t="s">
        <v>234</v>
      </c>
      <c r="C856" s="148" t="s">
        <v>314</v>
      </c>
      <c r="D856" s="148" t="s">
        <v>255</v>
      </c>
      <c r="E856" s="148" t="s">
        <v>360</v>
      </c>
      <c r="F856" s="148" t="s">
        <v>300</v>
      </c>
      <c r="G856" s="349" t="s">
        <v>235</v>
      </c>
      <c r="H856" s="351"/>
      <c r="I856" s="350"/>
    </row>
    <row r="857" spans="2:11" ht="13.5" thickBot="1" x14ac:dyDescent="0.25">
      <c r="B857" s="158">
        <v>1</v>
      </c>
      <c r="C857" s="158">
        <v>3.4</v>
      </c>
      <c r="D857" s="158">
        <v>3.55</v>
      </c>
      <c r="E857" s="158">
        <v>1.68</v>
      </c>
      <c r="F857" s="144">
        <f>(C857*D857)-E857</f>
        <v>10.389999999999999</v>
      </c>
      <c r="G857" s="352" t="s">
        <v>285</v>
      </c>
      <c r="H857" s="353"/>
      <c r="I857" s="354"/>
    </row>
    <row r="858" spans="2:11" ht="13.5" thickBot="1" x14ac:dyDescent="0.25">
      <c r="B858" s="158">
        <v>1</v>
      </c>
      <c r="C858" s="158">
        <v>3.4</v>
      </c>
      <c r="D858" s="158">
        <v>3.55</v>
      </c>
      <c r="E858" s="158">
        <v>1.68</v>
      </c>
      <c r="F858" s="144">
        <f t="shared" ref="F858:F864" si="41">(C858*D858)-E858</f>
        <v>10.389999999999999</v>
      </c>
      <c r="G858" s="352" t="s">
        <v>286</v>
      </c>
      <c r="H858" s="353"/>
      <c r="I858" s="354"/>
    </row>
    <row r="859" spans="2:11" ht="13.5" thickBot="1" x14ac:dyDescent="0.25">
      <c r="B859" s="158">
        <v>1</v>
      </c>
      <c r="C859" s="158">
        <v>3.4</v>
      </c>
      <c r="D859" s="158">
        <v>3.6</v>
      </c>
      <c r="E859" s="158">
        <f>0.9*2.1+0.4*0.5</f>
        <v>2.0900000000000003</v>
      </c>
      <c r="F859" s="144">
        <f t="shared" si="41"/>
        <v>10.15</v>
      </c>
      <c r="G859" s="352" t="s">
        <v>287</v>
      </c>
      <c r="H859" s="353"/>
      <c r="I859" s="354"/>
    </row>
    <row r="860" spans="2:11" ht="13.5" thickBot="1" x14ac:dyDescent="0.25">
      <c r="B860" s="158">
        <v>1</v>
      </c>
      <c r="C860" s="158">
        <v>3.4</v>
      </c>
      <c r="D860" s="158">
        <f>2.83*2</f>
        <v>5.66</v>
      </c>
      <c r="E860" s="158">
        <v>6.3</v>
      </c>
      <c r="F860" s="144">
        <f t="shared" si="41"/>
        <v>12.943999999999999</v>
      </c>
      <c r="G860" s="352" t="s">
        <v>288</v>
      </c>
      <c r="H860" s="353"/>
      <c r="I860" s="354"/>
    </row>
    <row r="861" spans="2:11" ht="13.5" thickBot="1" x14ac:dyDescent="0.25">
      <c r="B861" s="158">
        <v>1</v>
      </c>
      <c r="C861" s="158">
        <v>2.7</v>
      </c>
      <c r="D861" s="158">
        <v>2.6</v>
      </c>
      <c r="E861" s="158">
        <v>2.56</v>
      </c>
      <c r="F861" s="144">
        <f t="shared" si="41"/>
        <v>4.4600000000000009</v>
      </c>
      <c r="G861" s="352" t="s">
        <v>289</v>
      </c>
      <c r="H861" s="353"/>
      <c r="I861" s="354"/>
    </row>
    <row r="862" spans="2:11" ht="13.5" thickBot="1" x14ac:dyDescent="0.25">
      <c r="B862" s="158">
        <v>1</v>
      </c>
      <c r="C862" s="158">
        <v>2.85</v>
      </c>
      <c r="D862" s="158">
        <v>2.8</v>
      </c>
      <c r="E862" s="158">
        <v>2.56</v>
      </c>
      <c r="F862" s="144">
        <f t="shared" si="41"/>
        <v>5.42</v>
      </c>
      <c r="G862" s="352" t="s">
        <v>290</v>
      </c>
      <c r="H862" s="353"/>
      <c r="I862" s="354"/>
    </row>
    <row r="863" spans="2:11" ht="13.5" thickBot="1" x14ac:dyDescent="0.25">
      <c r="B863" s="158">
        <v>1</v>
      </c>
      <c r="C863" s="158">
        <v>2.7</v>
      </c>
      <c r="D863" s="158">
        <v>2.6</v>
      </c>
      <c r="E863" s="158">
        <v>2.56</v>
      </c>
      <c r="F863" s="144">
        <f t="shared" si="41"/>
        <v>4.4600000000000009</v>
      </c>
      <c r="G863" s="352" t="s">
        <v>291</v>
      </c>
      <c r="H863" s="353"/>
      <c r="I863" s="354"/>
    </row>
    <row r="864" spans="2:11" ht="13.5" thickBot="1" x14ac:dyDescent="0.25">
      <c r="B864" s="158">
        <v>1</v>
      </c>
      <c r="C864" s="158">
        <v>2.85</v>
      </c>
      <c r="D864" s="158">
        <v>2.8</v>
      </c>
      <c r="E864" s="158">
        <v>2.56</v>
      </c>
      <c r="F864" s="144">
        <f t="shared" si="41"/>
        <v>5.42</v>
      </c>
      <c r="G864" s="352" t="s">
        <v>292</v>
      </c>
      <c r="H864" s="353"/>
      <c r="I864" s="354"/>
      <c r="J864" s="156">
        <f>SUM(F857:F864)</f>
        <v>63.634</v>
      </c>
      <c r="K864" s="143" t="s">
        <v>373</v>
      </c>
    </row>
    <row r="865" spans="2:11" ht="13.5" thickBot="1" x14ac:dyDescent="0.25">
      <c r="B865" s="338" t="s">
        <v>375</v>
      </c>
      <c r="C865" s="339"/>
      <c r="D865" s="339"/>
      <c r="E865" s="339"/>
      <c r="F865" s="339"/>
      <c r="G865" s="339"/>
      <c r="H865" s="339"/>
      <c r="I865" s="340"/>
    </row>
    <row r="866" spans="2:11" ht="24.75" thickBot="1" x14ac:dyDescent="0.25">
      <c r="B866" s="148" t="s">
        <v>234</v>
      </c>
      <c r="C866" s="148" t="s">
        <v>314</v>
      </c>
      <c r="D866" s="148" t="s">
        <v>255</v>
      </c>
      <c r="E866" s="148" t="s">
        <v>360</v>
      </c>
      <c r="F866" s="148" t="s">
        <v>300</v>
      </c>
      <c r="G866" s="349" t="s">
        <v>235</v>
      </c>
      <c r="H866" s="351"/>
      <c r="I866" s="350"/>
    </row>
    <row r="867" spans="2:11" ht="13.5" thickBot="1" x14ac:dyDescent="0.25">
      <c r="B867" s="158">
        <v>1</v>
      </c>
      <c r="C867" s="144">
        <v>3.4</v>
      </c>
      <c r="D867" s="144">
        <v>3.55</v>
      </c>
      <c r="E867" s="144">
        <v>1.68</v>
      </c>
      <c r="F867" s="144">
        <f>(C867*D867)-E867</f>
        <v>10.389999999999999</v>
      </c>
      <c r="G867" s="352" t="s">
        <v>285</v>
      </c>
      <c r="H867" s="353"/>
      <c r="I867" s="354"/>
    </row>
    <row r="868" spans="2:11" ht="13.5" thickBot="1" x14ac:dyDescent="0.25">
      <c r="B868" s="158">
        <v>1</v>
      </c>
      <c r="C868" s="144">
        <v>3.4</v>
      </c>
      <c r="D868" s="144">
        <v>3.55</v>
      </c>
      <c r="E868" s="144">
        <v>1.68</v>
      </c>
      <c r="F868" s="144">
        <f t="shared" ref="F868:F876" si="42">(C868*D868)-E868</f>
        <v>10.389999999999999</v>
      </c>
      <c r="G868" s="352" t="s">
        <v>286</v>
      </c>
      <c r="H868" s="353"/>
      <c r="I868" s="354"/>
    </row>
    <row r="869" spans="2:11" ht="13.5" thickBot="1" x14ac:dyDescent="0.25">
      <c r="B869" s="158">
        <v>1</v>
      </c>
      <c r="C869" s="144">
        <v>3.4</v>
      </c>
      <c r="D869" s="144">
        <v>3.6</v>
      </c>
      <c r="E869" s="144">
        <f>0.9*2.1+0.4*0.5</f>
        <v>2.0900000000000003</v>
      </c>
      <c r="F869" s="144">
        <f t="shared" si="42"/>
        <v>10.15</v>
      </c>
      <c r="G869" s="352" t="s">
        <v>287</v>
      </c>
      <c r="H869" s="353"/>
      <c r="I869" s="354"/>
    </row>
    <row r="870" spans="2:11" ht="13.5" thickBot="1" x14ac:dyDescent="0.25">
      <c r="B870" s="158">
        <v>1</v>
      </c>
      <c r="C870" s="144">
        <v>3.4</v>
      </c>
      <c r="D870" s="144">
        <f>2.83*2</f>
        <v>5.66</v>
      </c>
      <c r="E870" s="144">
        <v>6.3</v>
      </c>
      <c r="F870" s="144">
        <f t="shared" si="42"/>
        <v>12.943999999999999</v>
      </c>
      <c r="G870" s="352" t="s">
        <v>288</v>
      </c>
      <c r="H870" s="353"/>
      <c r="I870" s="354"/>
    </row>
    <row r="871" spans="2:11" ht="13.5" thickBot="1" x14ac:dyDescent="0.25">
      <c r="B871" s="158">
        <v>1</v>
      </c>
      <c r="C871" s="144">
        <v>2.7</v>
      </c>
      <c r="D871" s="144">
        <v>2.6</v>
      </c>
      <c r="E871" s="144">
        <v>2.56</v>
      </c>
      <c r="F871" s="144">
        <f t="shared" si="42"/>
        <v>4.4600000000000009</v>
      </c>
      <c r="G871" s="352" t="s">
        <v>289</v>
      </c>
      <c r="H871" s="353"/>
      <c r="I871" s="354"/>
    </row>
    <row r="872" spans="2:11" ht="13.5" thickBot="1" x14ac:dyDescent="0.25">
      <c r="B872" s="158">
        <v>1</v>
      </c>
      <c r="C872" s="144">
        <v>2.85</v>
      </c>
      <c r="D872" s="144">
        <v>2.9</v>
      </c>
      <c r="E872" s="144">
        <f>2.56-0.48+0.39</f>
        <v>2.4700000000000002</v>
      </c>
      <c r="F872" s="144">
        <f t="shared" si="42"/>
        <v>5.7949999999999999</v>
      </c>
      <c r="G872" s="352" t="s">
        <v>290</v>
      </c>
      <c r="H872" s="353"/>
      <c r="I872" s="354"/>
    </row>
    <row r="873" spans="2:11" ht="13.5" thickBot="1" x14ac:dyDescent="0.25">
      <c r="B873" s="158">
        <v>1</v>
      </c>
      <c r="C873" s="144">
        <v>2.7</v>
      </c>
      <c r="D873" s="144">
        <v>2.6</v>
      </c>
      <c r="E873" s="144">
        <v>2.56</v>
      </c>
      <c r="F873" s="144">
        <f t="shared" si="42"/>
        <v>4.4600000000000009</v>
      </c>
      <c r="G873" s="352" t="s">
        <v>291</v>
      </c>
      <c r="H873" s="353"/>
      <c r="I873" s="354"/>
    </row>
    <row r="874" spans="2:11" ht="13.5" thickBot="1" x14ac:dyDescent="0.25">
      <c r="B874" s="158">
        <v>1</v>
      </c>
      <c r="C874" s="144">
        <v>2.85</v>
      </c>
      <c r="D874" s="144">
        <v>2.9</v>
      </c>
      <c r="E874" s="144">
        <f>2.56-0.48+0.39</f>
        <v>2.4700000000000002</v>
      </c>
      <c r="F874" s="144">
        <f t="shared" si="42"/>
        <v>5.7949999999999999</v>
      </c>
      <c r="G874" s="352" t="s">
        <v>292</v>
      </c>
      <c r="H874" s="353"/>
      <c r="I874" s="354"/>
    </row>
    <row r="875" spans="2:11" ht="13.5" thickBot="1" x14ac:dyDescent="0.25">
      <c r="B875" s="158">
        <v>1</v>
      </c>
      <c r="C875" s="144">
        <v>0.6</v>
      </c>
      <c r="D875" s="144">
        <v>2.7</v>
      </c>
      <c r="E875" s="144">
        <v>0</v>
      </c>
      <c r="F875" s="144">
        <f t="shared" si="42"/>
        <v>1.62</v>
      </c>
      <c r="G875" s="352" t="s">
        <v>335</v>
      </c>
      <c r="H875" s="353"/>
      <c r="I875" s="354"/>
    </row>
    <row r="876" spans="2:11" ht="13.5" thickBot="1" x14ac:dyDescent="0.25">
      <c r="B876" s="158">
        <v>1</v>
      </c>
      <c r="C876" s="144">
        <v>0.6</v>
      </c>
      <c r="D876" s="144">
        <v>2.7</v>
      </c>
      <c r="E876" s="144">
        <v>0</v>
      </c>
      <c r="F876" s="144">
        <f t="shared" si="42"/>
        <v>1.62</v>
      </c>
      <c r="G876" s="352" t="s">
        <v>336</v>
      </c>
      <c r="H876" s="353"/>
      <c r="I876" s="354"/>
      <c r="J876" s="156">
        <f>SUM(F867:F876)</f>
        <v>67.624000000000009</v>
      </c>
      <c r="K876" s="143" t="s">
        <v>393</v>
      </c>
    </row>
    <row r="877" spans="2:11" ht="13.5" thickBot="1" x14ac:dyDescent="0.25"/>
    <row r="878" spans="2:11" ht="13.5" thickBot="1" x14ac:dyDescent="0.25">
      <c r="B878" s="345" t="s">
        <v>0</v>
      </c>
      <c r="C878" s="345" t="s">
        <v>9</v>
      </c>
      <c r="D878" s="345" t="s">
        <v>1</v>
      </c>
      <c r="E878" s="345" t="s">
        <v>189</v>
      </c>
      <c r="F878" s="345" t="s">
        <v>8</v>
      </c>
      <c r="G878" s="143"/>
      <c r="H878" s="143"/>
      <c r="I878" s="143"/>
    </row>
    <row r="879" spans="2:11" ht="13.5" thickBot="1" x14ac:dyDescent="0.25">
      <c r="B879" s="345"/>
      <c r="C879" s="345"/>
      <c r="D879" s="345"/>
      <c r="E879" s="345"/>
      <c r="F879" s="345"/>
      <c r="G879" s="143"/>
      <c r="H879" s="143"/>
      <c r="I879" s="143"/>
    </row>
    <row r="880" spans="2:11" ht="36.75" thickBot="1" x14ac:dyDescent="0.25">
      <c r="B880" s="140" t="s">
        <v>118</v>
      </c>
      <c r="C880" s="262" t="s">
        <v>604</v>
      </c>
      <c r="D880" s="135" t="s">
        <v>605</v>
      </c>
      <c r="E880" s="133" t="s">
        <v>10</v>
      </c>
      <c r="F880" s="134">
        <f>SUM(F883:F890)+SUM(F893:F902)</f>
        <v>131.25800000000001</v>
      </c>
      <c r="G880" s="143"/>
      <c r="H880" s="143"/>
      <c r="I880" s="143"/>
    </row>
    <row r="881" spans="2:9" ht="13.5" thickBot="1" x14ac:dyDescent="0.25">
      <c r="B881" s="338" t="s">
        <v>375</v>
      </c>
      <c r="C881" s="339"/>
      <c r="D881" s="339"/>
      <c r="E881" s="339"/>
      <c r="F881" s="339"/>
      <c r="G881" s="339"/>
      <c r="H881" s="339"/>
      <c r="I881" s="340"/>
    </row>
    <row r="882" spans="2:9" ht="24.75" thickBot="1" x14ac:dyDescent="0.25">
      <c r="B882" s="148" t="s">
        <v>234</v>
      </c>
      <c r="C882" s="148" t="s">
        <v>314</v>
      </c>
      <c r="D882" s="148" t="s">
        <v>255</v>
      </c>
      <c r="E882" s="148" t="s">
        <v>360</v>
      </c>
      <c r="F882" s="148" t="s">
        <v>300</v>
      </c>
      <c r="G882" s="349" t="s">
        <v>235</v>
      </c>
      <c r="H882" s="351"/>
      <c r="I882" s="350"/>
    </row>
    <row r="883" spans="2:9" ht="13.5" thickBot="1" x14ac:dyDescent="0.25">
      <c r="B883" s="158">
        <v>1</v>
      </c>
      <c r="C883" s="158">
        <v>3.4</v>
      </c>
      <c r="D883" s="158">
        <v>3.55</v>
      </c>
      <c r="E883" s="158">
        <v>1.68</v>
      </c>
      <c r="F883" s="144">
        <f>(C883*D883)-E883</f>
        <v>10.389999999999999</v>
      </c>
      <c r="G883" s="352" t="s">
        <v>285</v>
      </c>
      <c r="H883" s="353"/>
      <c r="I883" s="354"/>
    </row>
    <row r="884" spans="2:9" ht="13.5" thickBot="1" x14ac:dyDescent="0.25">
      <c r="B884" s="158">
        <v>1</v>
      </c>
      <c r="C884" s="158">
        <v>3.4</v>
      </c>
      <c r="D884" s="158">
        <v>3.55</v>
      </c>
      <c r="E884" s="158">
        <v>1.68</v>
      </c>
      <c r="F884" s="144">
        <f t="shared" ref="F884:F890" si="43">(C884*D884)-E884</f>
        <v>10.389999999999999</v>
      </c>
      <c r="G884" s="352" t="s">
        <v>286</v>
      </c>
      <c r="H884" s="353"/>
      <c r="I884" s="354"/>
    </row>
    <row r="885" spans="2:9" ht="13.5" thickBot="1" x14ac:dyDescent="0.25">
      <c r="B885" s="158">
        <v>1</v>
      </c>
      <c r="C885" s="158">
        <v>3.4</v>
      </c>
      <c r="D885" s="158">
        <v>3.6</v>
      </c>
      <c r="E885" s="158">
        <f>0.9*2.1+0.4*0.5</f>
        <v>2.0900000000000003</v>
      </c>
      <c r="F885" s="144">
        <f t="shared" si="43"/>
        <v>10.15</v>
      </c>
      <c r="G885" s="352" t="s">
        <v>287</v>
      </c>
      <c r="H885" s="353"/>
      <c r="I885" s="354"/>
    </row>
    <row r="886" spans="2:9" ht="13.5" thickBot="1" x14ac:dyDescent="0.25">
      <c r="B886" s="158">
        <v>1</v>
      </c>
      <c r="C886" s="158">
        <v>3.4</v>
      </c>
      <c r="D886" s="158">
        <f>2.83*2</f>
        <v>5.66</v>
      </c>
      <c r="E886" s="158">
        <v>6.3</v>
      </c>
      <c r="F886" s="144">
        <f t="shared" si="43"/>
        <v>12.943999999999999</v>
      </c>
      <c r="G886" s="352" t="s">
        <v>288</v>
      </c>
      <c r="H886" s="353"/>
      <c r="I886" s="354"/>
    </row>
    <row r="887" spans="2:9" ht="13.5" thickBot="1" x14ac:dyDescent="0.25">
      <c r="B887" s="158">
        <v>1</v>
      </c>
      <c r="C887" s="158">
        <v>2.7</v>
      </c>
      <c r="D887" s="158">
        <v>2.6</v>
      </c>
      <c r="E887" s="158">
        <v>2.56</v>
      </c>
      <c r="F887" s="144">
        <f t="shared" si="43"/>
        <v>4.4600000000000009</v>
      </c>
      <c r="G887" s="352" t="s">
        <v>289</v>
      </c>
      <c r="H887" s="353"/>
      <c r="I887" s="354"/>
    </row>
    <row r="888" spans="2:9" ht="13.5" thickBot="1" x14ac:dyDescent="0.25">
      <c r="B888" s="158">
        <v>1</v>
      </c>
      <c r="C888" s="158">
        <v>2.85</v>
      </c>
      <c r="D888" s="158">
        <v>2.8</v>
      </c>
      <c r="E888" s="158">
        <v>2.56</v>
      </c>
      <c r="F888" s="144">
        <f t="shared" si="43"/>
        <v>5.42</v>
      </c>
      <c r="G888" s="352" t="s">
        <v>290</v>
      </c>
      <c r="H888" s="353"/>
      <c r="I888" s="354"/>
    </row>
    <row r="889" spans="2:9" ht="13.5" thickBot="1" x14ac:dyDescent="0.25">
      <c r="B889" s="158">
        <v>1</v>
      </c>
      <c r="C889" s="158">
        <v>2.7</v>
      </c>
      <c r="D889" s="158">
        <v>2.6</v>
      </c>
      <c r="E889" s="158">
        <v>2.56</v>
      </c>
      <c r="F889" s="144">
        <f t="shared" si="43"/>
        <v>4.4600000000000009</v>
      </c>
      <c r="G889" s="352" t="s">
        <v>291</v>
      </c>
      <c r="H889" s="353"/>
      <c r="I889" s="354"/>
    </row>
    <row r="890" spans="2:9" ht="13.5" thickBot="1" x14ac:dyDescent="0.25">
      <c r="B890" s="158">
        <v>1</v>
      </c>
      <c r="C890" s="158">
        <v>2.85</v>
      </c>
      <c r="D890" s="158">
        <v>2.8</v>
      </c>
      <c r="E890" s="158">
        <v>2.56</v>
      </c>
      <c r="F890" s="144">
        <f t="shared" si="43"/>
        <v>5.42</v>
      </c>
      <c r="G890" s="352" t="s">
        <v>292</v>
      </c>
      <c r="H890" s="353"/>
      <c r="I890" s="354"/>
    </row>
    <row r="891" spans="2:9" ht="13.5" thickBot="1" x14ac:dyDescent="0.25">
      <c r="B891" s="338" t="s">
        <v>375</v>
      </c>
      <c r="C891" s="339"/>
      <c r="D891" s="339"/>
      <c r="E891" s="339"/>
      <c r="F891" s="339"/>
      <c r="G891" s="339"/>
      <c r="H891" s="339"/>
      <c r="I891" s="340"/>
    </row>
    <row r="892" spans="2:9" ht="24.75" thickBot="1" x14ac:dyDescent="0.25">
      <c r="B892" s="148" t="s">
        <v>234</v>
      </c>
      <c r="C892" s="148" t="s">
        <v>314</v>
      </c>
      <c r="D892" s="148" t="s">
        <v>255</v>
      </c>
      <c r="E892" s="148" t="s">
        <v>360</v>
      </c>
      <c r="F892" s="148" t="s">
        <v>300</v>
      </c>
      <c r="G892" s="349" t="s">
        <v>235</v>
      </c>
      <c r="H892" s="351"/>
      <c r="I892" s="350"/>
    </row>
    <row r="893" spans="2:9" ht="13.5" thickBot="1" x14ac:dyDescent="0.25">
      <c r="B893" s="158">
        <v>1</v>
      </c>
      <c r="C893" s="144">
        <v>3.4</v>
      </c>
      <c r="D893" s="144">
        <v>3.55</v>
      </c>
      <c r="E893" s="144">
        <v>1.68</v>
      </c>
      <c r="F893" s="144">
        <f>(C893*D893)-E893</f>
        <v>10.389999999999999</v>
      </c>
      <c r="G893" s="352" t="s">
        <v>285</v>
      </c>
      <c r="H893" s="353"/>
      <c r="I893" s="354"/>
    </row>
    <row r="894" spans="2:9" ht="13.5" thickBot="1" x14ac:dyDescent="0.25">
      <c r="B894" s="158">
        <v>1</v>
      </c>
      <c r="C894" s="144">
        <v>3.4</v>
      </c>
      <c r="D894" s="144">
        <v>3.55</v>
      </c>
      <c r="E894" s="144">
        <v>1.68</v>
      </c>
      <c r="F894" s="144">
        <f t="shared" ref="F894:F902" si="44">(C894*D894)-E894</f>
        <v>10.389999999999999</v>
      </c>
      <c r="G894" s="352" t="s">
        <v>286</v>
      </c>
      <c r="H894" s="353"/>
      <c r="I894" s="354"/>
    </row>
    <row r="895" spans="2:9" ht="13.5" thickBot="1" x14ac:dyDescent="0.25">
      <c r="B895" s="158">
        <v>1</v>
      </c>
      <c r="C895" s="144">
        <v>3.4</v>
      </c>
      <c r="D895" s="144">
        <v>3.6</v>
      </c>
      <c r="E895" s="144">
        <f>0.9*2.1+0.4*0.5</f>
        <v>2.0900000000000003</v>
      </c>
      <c r="F895" s="144">
        <f t="shared" si="44"/>
        <v>10.15</v>
      </c>
      <c r="G895" s="352" t="s">
        <v>287</v>
      </c>
      <c r="H895" s="353"/>
      <c r="I895" s="354"/>
    </row>
    <row r="896" spans="2:9" ht="13.5" thickBot="1" x14ac:dyDescent="0.25">
      <c r="B896" s="158">
        <v>1</v>
      </c>
      <c r="C896" s="144">
        <v>3.4</v>
      </c>
      <c r="D896" s="144">
        <f>2.83*2</f>
        <v>5.66</v>
      </c>
      <c r="E896" s="144">
        <v>6.3</v>
      </c>
      <c r="F896" s="144">
        <f t="shared" si="44"/>
        <v>12.943999999999999</v>
      </c>
      <c r="G896" s="352" t="s">
        <v>288</v>
      </c>
      <c r="H896" s="353"/>
      <c r="I896" s="354"/>
    </row>
    <row r="897" spans="2:11" ht="13.5" thickBot="1" x14ac:dyDescent="0.25">
      <c r="B897" s="158">
        <v>1</v>
      </c>
      <c r="C897" s="144">
        <v>2.7</v>
      </c>
      <c r="D897" s="144">
        <v>2.6</v>
      </c>
      <c r="E897" s="144">
        <v>2.56</v>
      </c>
      <c r="F897" s="144">
        <f t="shared" si="44"/>
        <v>4.4600000000000009</v>
      </c>
      <c r="G897" s="352" t="s">
        <v>289</v>
      </c>
      <c r="H897" s="353"/>
      <c r="I897" s="354"/>
    </row>
    <row r="898" spans="2:11" ht="13.5" thickBot="1" x14ac:dyDescent="0.25">
      <c r="B898" s="158">
        <v>1</v>
      </c>
      <c r="C898" s="144">
        <v>2.85</v>
      </c>
      <c r="D898" s="144">
        <v>2.9</v>
      </c>
      <c r="E898" s="144">
        <f>2.56-0.48+0.39</f>
        <v>2.4700000000000002</v>
      </c>
      <c r="F898" s="144">
        <f t="shared" si="44"/>
        <v>5.7949999999999999</v>
      </c>
      <c r="G898" s="352" t="s">
        <v>290</v>
      </c>
      <c r="H898" s="353"/>
      <c r="I898" s="354"/>
    </row>
    <row r="899" spans="2:11" ht="13.5" thickBot="1" x14ac:dyDescent="0.25">
      <c r="B899" s="158">
        <v>1</v>
      </c>
      <c r="C899" s="144">
        <v>2.7</v>
      </c>
      <c r="D899" s="144">
        <v>2.6</v>
      </c>
      <c r="E899" s="144">
        <v>2.56</v>
      </c>
      <c r="F899" s="144">
        <f t="shared" si="44"/>
        <v>4.4600000000000009</v>
      </c>
      <c r="G899" s="352" t="s">
        <v>291</v>
      </c>
      <c r="H899" s="353"/>
      <c r="I899" s="354"/>
    </row>
    <row r="900" spans="2:11" ht="13.5" thickBot="1" x14ac:dyDescent="0.25">
      <c r="B900" s="158">
        <v>1</v>
      </c>
      <c r="C900" s="144">
        <v>2.85</v>
      </c>
      <c r="D900" s="144">
        <v>2.9</v>
      </c>
      <c r="E900" s="144">
        <f>2.56-0.48+0.39</f>
        <v>2.4700000000000002</v>
      </c>
      <c r="F900" s="144">
        <f t="shared" si="44"/>
        <v>5.7949999999999999</v>
      </c>
      <c r="G900" s="352" t="s">
        <v>292</v>
      </c>
      <c r="H900" s="353"/>
      <c r="I900" s="354"/>
    </row>
    <row r="901" spans="2:11" ht="13.5" thickBot="1" x14ac:dyDescent="0.25">
      <c r="B901" s="158">
        <v>1</v>
      </c>
      <c r="C901" s="144">
        <v>0.6</v>
      </c>
      <c r="D901" s="144">
        <v>2.7</v>
      </c>
      <c r="E901" s="144">
        <v>0</v>
      </c>
      <c r="F901" s="144">
        <f t="shared" si="44"/>
        <v>1.62</v>
      </c>
      <c r="G901" s="352" t="s">
        <v>335</v>
      </c>
      <c r="H901" s="353"/>
      <c r="I901" s="354"/>
    </row>
    <row r="902" spans="2:11" ht="13.5" thickBot="1" x14ac:dyDescent="0.25">
      <c r="B902" s="158">
        <v>1</v>
      </c>
      <c r="C902" s="144">
        <v>0.6</v>
      </c>
      <c r="D902" s="144">
        <v>2.7</v>
      </c>
      <c r="E902" s="144">
        <v>0</v>
      </c>
      <c r="F902" s="144">
        <f t="shared" si="44"/>
        <v>1.62</v>
      </c>
      <c r="G902" s="352" t="s">
        <v>336</v>
      </c>
      <c r="H902" s="353"/>
      <c r="I902" s="354"/>
      <c r="J902" s="156">
        <f>SUM(F893:F902)</f>
        <v>67.624000000000009</v>
      </c>
      <c r="K902" s="143" t="s">
        <v>393</v>
      </c>
    </row>
    <row r="903" spans="2:11" ht="13.5" thickBot="1" x14ac:dyDescent="0.25"/>
    <row r="904" spans="2:11" ht="13.5" thickBot="1" x14ac:dyDescent="0.25">
      <c r="B904" s="345" t="s">
        <v>0</v>
      </c>
      <c r="C904" s="345" t="s">
        <v>9</v>
      </c>
      <c r="D904" s="345" t="s">
        <v>1</v>
      </c>
      <c r="E904" s="345" t="s">
        <v>189</v>
      </c>
      <c r="F904" s="345" t="s">
        <v>8</v>
      </c>
      <c r="G904" s="143"/>
      <c r="H904" s="143"/>
      <c r="I904" s="143"/>
    </row>
    <row r="905" spans="2:11" ht="13.5" thickBot="1" x14ac:dyDescent="0.25">
      <c r="B905" s="345"/>
      <c r="C905" s="345"/>
      <c r="D905" s="345"/>
      <c r="E905" s="345"/>
      <c r="F905" s="345"/>
      <c r="G905" s="143"/>
      <c r="H905" s="143"/>
      <c r="I905" s="143"/>
    </row>
    <row r="906" spans="2:11" ht="60.75" thickBot="1" x14ac:dyDescent="0.25">
      <c r="B906" s="140" t="s">
        <v>119</v>
      </c>
      <c r="C906" s="268" t="s">
        <v>629</v>
      </c>
      <c r="D906" s="135" t="s">
        <v>630</v>
      </c>
      <c r="E906" s="133" t="s">
        <v>10</v>
      </c>
      <c r="F906" s="134">
        <f>SUM(F909:F912)</f>
        <v>15.129999999999999</v>
      </c>
      <c r="G906" s="143"/>
      <c r="H906" s="143"/>
      <c r="I906" s="143"/>
    </row>
    <row r="907" spans="2:11" ht="13.5" thickBot="1" x14ac:dyDescent="0.25">
      <c r="B907" s="338" t="s">
        <v>375</v>
      </c>
      <c r="C907" s="339"/>
      <c r="D907" s="339"/>
      <c r="E907" s="339"/>
      <c r="F907" s="339"/>
      <c r="G907" s="339"/>
      <c r="H907" s="339"/>
      <c r="I907" s="340"/>
    </row>
    <row r="908" spans="2:11" ht="24.75" thickBot="1" x14ac:dyDescent="0.25">
      <c r="B908" s="148" t="s">
        <v>234</v>
      </c>
      <c r="C908" s="148" t="s">
        <v>314</v>
      </c>
      <c r="D908" s="148" t="s">
        <v>255</v>
      </c>
      <c r="E908" s="148" t="s">
        <v>360</v>
      </c>
      <c r="F908" s="148" t="s">
        <v>300</v>
      </c>
      <c r="G908" s="349" t="s">
        <v>235</v>
      </c>
      <c r="H908" s="351"/>
      <c r="I908" s="350"/>
    </row>
    <row r="909" spans="2:11" ht="13.5" thickBot="1" x14ac:dyDescent="0.25">
      <c r="B909" s="144">
        <v>1</v>
      </c>
      <c r="C909" s="144">
        <v>2.4</v>
      </c>
      <c r="D909" s="144">
        <v>2.25</v>
      </c>
      <c r="E909" s="144">
        <v>1.41</v>
      </c>
      <c r="F909" s="144">
        <f>(C909*D909)-E909</f>
        <v>3.9899999999999993</v>
      </c>
      <c r="G909" s="352" t="s">
        <v>394</v>
      </c>
      <c r="H909" s="353"/>
      <c r="I909" s="354"/>
    </row>
    <row r="910" spans="2:11" ht="13.5" thickBot="1" x14ac:dyDescent="0.25">
      <c r="B910" s="144">
        <v>1</v>
      </c>
      <c r="C910" s="144">
        <v>2.4</v>
      </c>
      <c r="D910" s="144">
        <v>2.25</v>
      </c>
      <c r="E910" s="144">
        <v>0.02</v>
      </c>
      <c r="F910" s="144">
        <f>(C910*D910)-E910</f>
        <v>5.38</v>
      </c>
      <c r="G910" s="352" t="s">
        <v>394</v>
      </c>
      <c r="H910" s="353"/>
      <c r="I910" s="354"/>
    </row>
    <row r="911" spans="2:11" ht="13.5" thickBot="1" x14ac:dyDescent="0.25">
      <c r="B911" s="144">
        <v>1</v>
      </c>
      <c r="C911" s="144">
        <v>2.4</v>
      </c>
      <c r="D911" s="144">
        <v>1.2</v>
      </c>
      <c r="E911" s="144">
        <v>0</v>
      </c>
      <c r="F911" s="144">
        <f>(C911*D911)-E911</f>
        <v>2.88</v>
      </c>
      <c r="G911" s="352" t="s">
        <v>394</v>
      </c>
      <c r="H911" s="353"/>
      <c r="I911" s="354"/>
    </row>
    <row r="912" spans="2:11" ht="13.5" thickBot="1" x14ac:dyDescent="0.25">
      <c r="B912" s="144">
        <v>1</v>
      </c>
      <c r="C912" s="144">
        <v>2.4</v>
      </c>
      <c r="D912" s="144">
        <v>1.2</v>
      </c>
      <c r="E912" s="144">
        <v>0</v>
      </c>
      <c r="F912" s="144">
        <f>(C912*D912)-E912</f>
        <v>2.88</v>
      </c>
      <c r="G912" s="352" t="s">
        <v>394</v>
      </c>
      <c r="H912" s="353"/>
      <c r="I912" s="354"/>
      <c r="K912" s="143" t="s">
        <v>393</v>
      </c>
    </row>
    <row r="914" spans="2:9" ht="13.5" thickBot="1" x14ac:dyDescent="0.25"/>
    <row r="915" spans="2:9" ht="15.75" thickBot="1" x14ac:dyDescent="0.25">
      <c r="B915" s="145">
        <v>13</v>
      </c>
      <c r="C915" s="384" t="s">
        <v>4</v>
      </c>
      <c r="D915" s="384"/>
      <c r="E915" s="384"/>
      <c r="F915" s="384"/>
      <c r="G915" s="384"/>
      <c r="H915" s="384"/>
      <c r="I915" s="384"/>
    </row>
    <row r="917" spans="2:9" ht="13.5" thickBot="1" x14ac:dyDescent="0.25"/>
    <row r="918" spans="2:9" ht="13.5" thickBot="1" x14ac:dyDescent="0.25">
      <c r="B918" s="345" t="s">
        <v>0</v>
      </c>
      <c r="C918" s="345" t="s">
        <v>9</v>
      </c>
      <c r="D918" s="345" t="s">
        <v>1</v>
      </c>
      <c r="E918" s="345" t="s">
        <v>189</v>
      </c>
      <c r="F918" s="345" t="s">
        <v>8</v>
      </c>
      <c r="G918" s="143"/>
      <c r="H918" s="143"/>
      <c r="I918" s="143"/>
    </row>
    <row r="919" spans="2:9" ht="13.5" thickBot="1" x14ac:dyDescent="0.25">
      <c r="B919" s="345"/>
      <c r="C919" s="345"/>
      <c r="D919" s="345"/>
      <c r="E919" s="345"/>
      <c r="F919" s="345"/>
      <c r="G919" s="143"/>
      <c r="H919" s="143"/>
      <c r="I919" s="143"/>
    </row>
    <row r="920" spans="2:9" ht="24.75" thickBot="1" x14ac:dyDescent="0.25">
      <c r="B920" s="140" t="s">
        <v>53</v>
      </c>
      <c r="C920" s="268" t="s">
        <v>729</v>
      </c>
      <c r="D920" s="135" t="s">
        <v>631</v>
      </c>
      <c r="E920" s="133" t="s">
        <v>58</v>
      </c>
      <c r="F920" s="134">
        <f>SUM(F922:F923)</f>
        <v>0.43799999999999994</v>
      </c>
      <c r="G920" s="143"/>
      <c r="H920" s="143"/>
      <c r="I920" s="143"/>
    </row>
    <row r="921" spans="2:9" ht="13.5" thickBot="1" x14ac:dyDescent="0.25">
      <c r="B921" s="148" t="s">
        <v>234</v>
      </c>
      <c r="C921" s="148" t="s">
        <v>314</v>
      </c>
      <c r="D921" s="148" t="s">
        <v>255</v>
      </c>
      <c r="E921" s="148" t="s">
        <v>314</v>
      </c>
      <c r="F921" s="148" t="s">
        <v>300</v>
      </c>
      <c r="G921" s="349" t="s">
        <v>235</v>
      </c>
      <c r="H921" s="351"/>
      <c r="I921" s="350"/>
    </row>
    <row r="922" spans="2:9" ht="13.5" thickBot="1" x14ac:dyDescent="0.25">
      <c r="B922" s="158">
        <v>1</v>
      </c>
      <c r="C922" s="158">
        <v>1.2</v>
      </c>
      <c r="D922" s="158">
        <v>2.25</v>
      </c>
      <c r="E922" s="261">
        <v>0.03</v>
      </c>
      <c r="F922" s="261">
        <f>((C922*D922)*E922)</f>
        <v>8.0999999999999989E-2</v>
      </c>
      <c r="G922" s="352" t="s">
        <v>394</v>
      </c>
      <c r="H922" s="353"/>
      <c r="I922" s="354"/>
    </row>
    <row r="923" spans="2:9" ht="13.5" thickBot="1" x14ac:dyDescent="0.25">
      <c r="B923" s="158">
        <v>1</v>
      </c>
      <c r="C923" s="158">
        <v>1</v>
      </c>
      <c r="D923" s="158">
        <v>11.9</v>
      </c>
      <c r="E923" s="261">
        <v>0.03</v>
      </c>
      <c r="F923" s="261">
        <f>((C923*D923)*E923)</f>
        <v>0.35699999999999998</v>
      </c>
      <c r="G923" s="352" t="s">
        <v>395</v>
      </c>
      <c r="H923" s="353"/>
      <c r="I923" s="354"/>
    </row>
    <row r="924" spans="2:9" ht="13.5" thickBot="1" x14ac:dyDescent="0.25"/>
    <row r="925" spans="2:9" ht="13.5" thickBot="1" x14ac:dyDescent="0.25">
      <c r="B925" s="345" t="s">
        <v>0</v>
      </c>
      <c r="C925" s="345" t="s">
        <v>9</v>
      </c>
      <c r="D925" s="345" t="s">
        <v>1</v>
      </c>
      <c r="E925" s="345" t="s">
        <v>189</v>
      </c>
      <c r="F925" s="345" t="s">
        <v>8</v>
      </c>
      <c r="G925" s="143"/>
      <c r="H925" s="143"/>
      <c r="I925" s="143"/>
    </row>
    <row r="926" spans="2:9" ht="13.5" thickBot="1" x14ac:dyDescent="0.25">
      <c r="B926" s="345"/>
      <c r="C926" s="345"/>
      <c r="D926" s="345"/>
      <c r="E926" s="345"/>
      <c r="F926" s="345"/>
      <c r="G926" s="143"/>
      <c r="H926" s="143"/>
      <c r="I926" s="143"/>
    </row>
    <row r="927" spans="2:9" ht="48.75" thickBot="1" x14ac:dyDescent="0.25">
      <c r="B927" s="140" t="s">
        <v>70</v>
      </c>
      <c r="C927" s="262">
        <v>87630</v>
      </c>
      <c r="D927" s="135" t="s">
        <v>613</v>
      </c>
      <c r="E927" s="133" t="s">
        <v>10</v>
      </c>
      <c r="F927" s="134">
        <f>SUM(F929:F930)</f>
        <v>14.549999999999999</v>
      </c>
      <c r="G927" s="143"/>
      <c r="H927" s="143"/>
      <c r="I927" s="143"/>
    </row>
    <row r="928" spans="2:9" ht="24.75" thickBot="1" x14ac:dyDescent="0.25">
      <c r="B928" s="148" t="s">
        <v>234</v>
      </c>
      <c r="C928" s="148" t="s">
        <v>314</v>
      </c>
      <c r="D928" s="148" t="s">
        <v>255</v>
      </c>
      <c r="E928" s="148" t="s">
        <v>360</v>
      </c>
      <c r="F928" s="148" t="s">
        <v>300</v>
      </c>
      <c r="G928" s="349" t="s">
        <v>235</v>
      </c>
      <c r="H928" s="351"/>
      <c r="I928" s="350"/>
    </row>
    <row r="929" spans="2:11" ht="13.5" thickBot="1" x14ac:dyDescent="0.25">
      <c r="B929" s="158">
        <v>1</v>
      </c>
      <c r="C929" s="158">
        <v>1.2</v>
      </c>
      <c r="D929" s="158">
        <v>2.25</v>
      </c>
      <c r="E929" s="158">
        <v>0</v>
      </c>
      <c r="F929" s="158">
        <f>((C929*D929)-E929)*B929</f>
        <v>2.6999999999999997</v>
      </c>
      <c r="G929" s="352" t="s">
        <v>394</v>
      </c>
      <c r="H929" s="353"/>
      <c r="I929" s="354"/>
    </row>
    <row r="930" spans="2:11" ht="13.5" thickBot="1" x14ac:dyDescent="0.25">
      <c r="B930" s="158">
        <v>1</v>
      </c>
      <c r="C930" s="158"/>
      <c r="D930" s="158"/>
      <c r="E930" s="158"/>
      <c r="F930" s="158">
        <v>11.85</v>
      </c>
      <c r="G930" s="352" t="s">
        <v>395</v>
      </c>
      <c r="H930" s="353"/>
      <c r="I930" s="354"/>
      <c r="K930" s="143" t="s">
        <v>397</v>
      </c>
    </row>
    <row r="931" spans="2:11" ht="13.5" thickBot="1" x14ac:dyDescent="0.25"/>
    <row r="932" spans="2:11" ht="13.5" thickBot="1" x14ac:dyDescent="0.25">
      <c r="B932" s="345" t="s">
        <v>0</v>
      </c>
      <c r="C932" s="345" t="s">
        <v>9</v>
      </c>
      <c r="D932" s="345" t="s">
        <v>1</v>
      </c>
      <c r="E932" s="345" t="s">
        <v>189</v>
      </c>
      <c r="F932" s="345" t="s">
        <v>8</v>
      </c>
      <c r="G932" s="143"/>
      <c r="H932" s="143"/>
      <c r="I932" s="143"/>
    </row>
    <row r="933" spans="2:11" ht="13.5" thickBot="1" x14ac:dyDescent="0.25">
      <c r="B933" s="345"/>
      <c r="C933" s="345"/>
      <c r="D933" s="345"/>
      <c r="E933" s="345"/>
      <c r="F933" s="345"/>
      <c r="G933" s="143"/>
      <c r="H933" s="143"/>
      <c r="I933" s="143"/>
    </row>
    <row r="934" spans="2:11" ht="36.75" thickBot="1" x14ac:dyDescent="0.25">
      <c r="B934" s="140" t="s">
        <v>71</v>
      </c>
      <c r="C934" s="285" t="s">
        <v>738</v>
      </c>
      <c r="D934" s="135" t="s">
        <v>734</v>
      </c>
      <c r="E934" s="133" t="s">
        <v>10</v>
      </c>
      <c r="F934" s="134">
        <f>SUM(F936:F937)</f>
        <v>14.549999999999999</v>
      </c>
      <c r="G934" s="143"/>
      <c r="H934" s="143"/>
      <c r="I934" s="143"/>
    </row>
    <row r="935" spans="2:11" ht="24.75" thickBot="1" x14ac:dyDescent="0.25">
      <c r="B935" s="285" t="s">
        <v>234</v>
      </c>
      <c r="C935" s="285" t="s">
        <v>314</v>
      </c>
      <c r="D935" s="285" t="s">
        <v>255</v>
      </c>
      <c r="E935" s="285" t="s">
        <v>360</v>
      </c>
      <c r="F935" s="285" t="s">
        <v>300</v>
      </c>
      <c r="G935" s="349" t="s">
        <v>235</v>
      </c>
      <c r="H935" s="351"/>
      <c r="I935" s="350"/>
    </row>
    <row r="936" spans="2:11" ht="13.5" thickBot="1" x14ac:dyDescent="0.25">
      <c r="B936" s="158">
        <v>1</v>
      </c>
      <c r="C936" s="158">
        <v>1.2</v>
      </c>
      <c r="D936" s="158">
        <v>2.25</v>
      </c>
      <c r="E936" s="158">
        <v>0</v>
      </c>
      <c r="F936" s="158">
        <f>((C936*D936)-E936)*B936</f>
        <v>2.6999999999999997</v>
      </c>
      <c r="G936" s="352" t="s">
        <v>394</v>
      </c>
      <c r="H936" s="353"/>
      <c r="I936" s="354"/>
    </row>
    <row r="937" spans="2:11" ht="13.5" thickBot="1" x14ac:dyDescent="0.25">
      <c r="B937" s="158">
        <v>1</v>
      </c>
      <c r="C937" s="158"/>
      <c r="D937" s="158"/>
      <c r="E937" s="158"/>
      <c r="F937" s="158">
        <v>11.85</v>
      </c>
      <c r="G937" s="352" t="s">
        <v>395</v>
      </c>
      <c r="H937" s="353"/>
      <c r="I937" s="354"/>
    </row>
    <row r="938" spans="2:11" ht="13.5" thickBot="1" x14ac:dyDescent="0.25"/>
    <row r="939" spans="2:11" ht="13.5" thickBot="1" x14ac:dyDescent="0.25">
      <c r="B939" s="345" t="s">
        <v>0</v>
      </c>
      <c r="C939" s="345" t="s">
        <v>9</v>
      </c>
      <c r="D939" s="345" t="s">
        <v>1</v>
      </c>
      <c r="E939" s="345" t="s">
        <v>189</v>
      </c>
      <c r="F939" s="345" t="s">
        <v>8</v>
      </c>
      <c r="G939" s="143"/>
      <c r="H939" s="143"/>
      <c r="I939" s="143"/>
    </row>
    <row r="940" spans="2:11" ht="13.5" thickBot="1" x14ac:dyDescent="0.25">
      <c r="B940" s="345"/>
      <c r="C940" s="345"/>
      <c r="D940" s="345"/>
      <c r="E940" s="345"/>
      <c r="F940" s="345"/>
      <c r="G940" s="143"/>
      <c r="H940" s="143"/>
      <c r="I940" s="143"/>
    </row>
    <row r="941" spans="2:11" ht="24.75" thickBot="1" x14ac:dyDescent="0.25">
      <c r="B941" s="140" t="s">
        <v>84</v>
      </c>
      <c r="C941" s="262" t="s">
        <v>739</v>
      </c>
      <c r="D941" s="135" t="s">
        <v>735</v>
      </c>
      <c r="E941" s="133" t="s">
        <v>12</v>
      </c>
      <c r="F941" s="134">
        <f>SUM(F943:F944)</f>
        <v>14.549999999999999</v>
      </c>
      <c r="G941" s="143"/>
      <c r="H941" s="143"/>
      <c r="I941" s="143"/>
    </row>
    <row r="942" spans="2:11" ht="24.75" thickBot="1" x14ac:dyDescent="0.25">
      <c r="B942" s="148" t="s">
        <v>234</v>
      </c>
      <c r="C942" s="148" t="s">
        <v>314</v>
      </c>
      <c r="D942" s="148" t="s">
        <v>255</v>
      </c>
      <c r="E942" s="148" t="s">
        <v>360</v>
      </c>
      <c r="F942" s="148" t="s">
        <v>300</v>
      </c>
      <c r="G942" s="349" t="s">
        <v>235</v>
      </c>
      <c r="H942" s="351"/>
      <c r="I942" s="350"/>
    </row>
    <row r="943" spans="2:11" ht="13.5" thickBot="1" x14ac:dyDescent="0.25">
      <c r="B943" s="158">
        <v>1</v>
      </c>
      <c r="C943" s="158">
        <v>1.2</v>
      </c>
      <c r="D943" s="158">
        <v>2.25</v>
      </c>
      <c r="E943" s="158">
        <v>0</v>
      </c>
      <c r="F943" s="158">
        <f>((C943*D943)-E943)*B943</f>
        <v>2.6999999999999997</v>
      </c>
      <c r="G943" s="352" t="s">
        <v>394</v>
      </c>
      <c r="H943" s="353"/>
      <c r="I943" s="354"/>
    </row>
    <row r="944" spans="2:11" ht="13.5" thickBot="1" x14ac:dyDescent="0.25">
      <c r="B944" s="158">
        <v>1</v>
      </c>
      <c r="C944" s="158"/>
      <c r="D944" s="158"/>
      <c r="E944" s="158"/>
      <c r="F944" s="158">
        <v>11.85</v>
      </c>
      <c r="G944" s="352" t="s">
        <v>395</v>
      </c>
      <c r="H944" s="353"/>
      <c r="I944" s="354"/>
      <c r="K944" s="143" t="s">
        <v>397</v>
      </c>
    </row>
    <row r="945" spans="2:11" ht="13.5" thickBot="1" x14ac:dyDescent="0.25"/>
    <row r="946" spans="2:11" ht="13.5" thickBot="1" x14ac:dyDescent="0.25">
      <c r="B946" s="345" t="s">
        <v>0</v>
      </c>
      <c r="C946" s="345" t="s">
        <v>9</v>
      </c>
      <c r="D946" s="345" t="s">
        <v>1</v>
      </c>
      <c r="E946" s="345" t="s">
        <v>189</v>
      </c>
      <c r="F946" s="345" t="s">
        <v>8</v>
      </c>
      <c r="G946" s="143"/>
      <c r="H946" s="143"/>
      <c r="I946" s="143"/>
    </row>
    <row r="947" spans="2:11" ht="13.5" thickBot="1" x14ac:dyDescent="0.25">
      <c r="B947" s="345"/>
      <c r="C947" s="345"/>
      <c r="D947" s="345"/>
      <c r="E947" s="345"/>
      <c r="F947" s="345"/>
      <c r="G947" s="143"/>
      <c r="H947" s="143"/>
      <c r="I947" s="143"/>
    </row>
    <row r="948" spans="2:11" ht="36.75" thickBot="1" x14ac:dyDescent="0.25">
      <c r="B948" s="140" t="s">
        <v>85</v>
      </c>
      <c r="C948" s="262">
        <v>92396</v>
      </c>
      <c r="D948" s="135" t="s">
        <v>632</v>
      </c>
      <c r="E948" s="133" t="s">
        <v>10</v>
      </c>
      <c r="F948" s="134">
        <f>SUM(F950:F950)</f>
        <v>43.5</v>
      </c>
      <c r="G948" s="143"/>
      <c r="H948" s="143"/>
      <c r="I948" s="143"/>
    </row>
    <row r="949" spans="2:11" ht="13.5" thickBot="1" x14ac:dyDescent="0.25">
      <c r="B949" s="148" t="s">
        <v>234</v>
      </c>
      <c r="C949" s="148"/>
      <c r="D949" s="148"/>
      <c r="E949" s="148"/>
      <c r="F949" s="148" t="s">
        <v>300</v>
      </c>
      <c r="G949" s="349" t="s">
        <v>235</v>
      </c>
      <c r="H949" s="351"/>
      <c r="I949" s="350"/>
      <c r="J949" s="180"/>
      <c r="K949" s="180"/>
    </row>
    <row r="950" spans="2:11" ht="24.75" customHeight="1" thickBot="1" x14ac:dyDescent="0.25">
      <c r="B950" s="158"/>
      <c r="C950" s="158"/>
      <c r="D950" s="158"/>
      <c r="E950" s="158"/>
      <c r="F950" s="158">
        <v>43.5</v>
      </c>
      <c r="G950" s="352" t="s">
        <v>426</v>
      </c>
      <c r="H950" s="353"/>
      <c r="I950" s="354"/>
      <c r="J950" s="180"/>
      <c r="K950" s="181" t="s">
        <v>427</v>
      </c>
    </row>
    <row r="951" spans="2:11" ht="13.5" thickBot="1" x14ac:dyDescent="0.25"/>
    <row r="952" spans="2:11" ht="13.5" thickBot="1" x14ac:dyDescent="0.25">
      <c r="B952" s="345" t="s">
        <v>0</v>
      </c>
      <c r="C952" s="345" t="s">
        <v>9</v>
      </c>
      <c r="D952" s="345" t="s">
        <v>1</v>
      </c>
      <c r="E952" s="345" t="s">
        <v>189</v>
      </c>
      <c r="F952" s="345" t="s">
        <v>8</v>
      </c>
      <c r="G952" s="143"/>
      <c r="H952" s="143"/>
      <c r="I952" s="143"/>
    </row>
    <row r="953" spans="2:11" ht="13.5" thickBot="1" x14ac:dyDescent="0.25">
      <c r="B953" s="345"/>
      <c r="C953" s="345"/>
      <c r="D953" s="345"/>
      <c r="E953" s="345"/>
      <c r="F953" s="345"/>
      <c r="G953" s="143"/>
      <c r="H953" s="143"/>
      <c r="I953" s="143"/>
    </row>
    <row r="954" spans="2:11" ht="60.75" thickBot="1" x14ac:dyDescent="0.25">
      <c r="B954" s="140" t="s">
        <v>94</v>
      </c>
      <c r="C954" s="262" t="s">
        <v>634</v>
      </c>
      <c r="D954" s="135" t="s">
        <v>633</v>
      </c>
      <c r="E954" s="133" t="s">
        <v>10</v>
      </c>
      <c r="F954" s="134">
        <f>SUM(F956:F961)</f>
        <v>4.6349999999999998</v>
      </c>
      <c r="G954" s="143"/>
      <c r="H954" s="143"/>
      <c r="I954" s="143"/>
    </row>
    <row r="955" spans="2:11" ht="13.5" thickBot="1" x14ac:dyDescent="0.25">
      <c r="B955" s="148" t="s">
        <v>234</v>
      </c>
      <c r="C955" s="148" t="s">
        <v>314</v>
      </c>
      <c r="D955" s="148" t="s">
        <v>255</v>
      </c>
      <c r="E955" s="148"/>
      <c r="F955" s="148" t="s">
        <v>300</v>
      </c>
      <c r="G955" s="349" t="s">
        <v>235</v>
      </c>
      <c r="H955" s="351"/>
      <c r="I955" s="350"/>
    </row>
    <row r="956" spans="2:11" ht="15.75" thickBot="1" x14ac:dyDescent="0.3">
      <c r="B956" s="158">
        <v>1</v>
      </c>
      <c r="C956" s="196">
        <v>0.25</v>
      </c>
      <c r="D956" s="196">
        <v>4.32</v>
      </c>
      <c r="E956" s="197"/>
      <c r="F956" s="144">
        <f t="shared" ref="F956:F961" si="45">B956*C956*D956</f>
        <v>1.08</v>
      </c>
      <c r="G956" s="358"/>
      <c r="H956" s="358"/>
      <c r="I956" s="358"/>
      <c r="J956" s="180"/>
      <c r="K956" s="180"/>
    </row>
    <row r="957" spans="2:11" ht="15.75" thickBot="1" x14ac:dyDescent="0.3">
      <c r="B957" s="158">
        <v>1</v>
      </c>
      <c r="C957" s="196">
        <v>0.25</v>
      </c>
      <c r="D957" s="196">
        <v>4.3600000000000003</v>
      </c>
      <c r="E957" s="197"/>
      <c r="F957" s="144">
        <f t="shared" si="45"/>
        <v>1.0900000000000001</v>
      </c>
      <c r="G957" s="358"/>
      <c r="H957" s="358"/>
      <c r="I957" s="358"/>
      <c r="J957" s="180"/>
      <c r="K957" s="180"/>
    </row>
    <row r="958" spans="2:11" ht="15.75" thickBot="1" x14ac:dyDescent="0.3">
      <c r="B958" s="158">
        <v>1</v>
      </c>
      <c r="C958" s="196">
        <v>0.5</v>
      </c>
      <c r="D958" s="196">
        <v>0.75</v>
      </c>
      <c r="E958" s="197"/>
      <c r="F958" s="144">
        <f t="shared" si="45"/>
        <v>0.375</v>
      </c>
      <c r="G958" s="352"/>
      <c r="H958" s="353"/>
      <c r="I958" s="354"/>
      <c r="J958" s="180"/>
      <c r="K958" s="180"/>
    </row>
    <row r="959" spans="2:11" ht="15.75" thickBot="1" x14ac:dyDescent="0.3">
      <c r="B959" s="158">
        <v>1</v>
      </c>
      <c r="C959" s="196">
        <v>0.5</v>
      </c>
      <c r="D959" s="196">
        <v>0.5</v>
      </c>
      <c r="E959" s="197"/>
      <c r="F959" s="144">
        <f t="shared" si="45"/>
        <v>0.25</v>
      </c>
      <c r="G959" s="358"/>
      <c r="H959" s="358"/>
      <c r="I959" s="358"/>
      <c r="J959" s="180"/>
      <c r="K959" s="180"/>
    </row>
    <row r="960" spans="2:11" ht="15.75" thickBot="1" x14ac:dyDescent="0.3">
      <c r="B960" s="158">
        <v>1</v>
      </c>
      <c r="C960" s="196">
        <v>0.25</v>
      </c>
      <c r="D960" s="196">
        <v>3.25</v>
      </c>
      <c r="E960" s="197"/>
      <c r="F960" s="144">
        <f t="shared" si="45"/>
        <v>0.8125</v>
      </c>
      <c r="G960" s="358"/>
      <c r="H960" s="358"/>
      <c r="I960" s="358"/>
      <c r="J960" s="180"/>
      <c r="K960" s="180"/>
    </row>
    <row r="961" spans="2:11" ht="15.75" thickBot="1" x14ac:dyDescent="0.3">
      <c r="B961" s="158">
        <v>1</v>
      </c>
      <c r="C961" s="196">
        <v>0.25</v>
      </c>
      <c r="D961" s="196">
        <v>4.1100000000000003</v>
      </c>
      <c r="E961" s="197"/>
      <c r="F961" s="144">
        <f t="shared" si="45"/>
        <v>1.0275000000000001</v>
      </c>
      <c r="G961" s="358"/>
      <c r="H961" s="358"/>
      <c r="I961" s="358"/>
      <c r="J961" s="180"/>
      <c r="K961" s="181" t="s">
        <v>432</v>
      </c>
    </row>
    <row r="962" spans="2:11" ht="13.5" thickBot="1" x14ac:dyDescent="0.25">
      <c r="G962" s="370"/>
      <c r="H962" s="370"/>
      <c r="I962" s="370"/>
    </row>
    <row r="963" spans="2:11" ht="13.5" thickBot="1" x14ac:dyDescent="0.25">
      <c r="B963" s="345" t="s">
        <v>0</v>
      </c>
      <c r="C963" s="345" t="s">
        <v>9</v>
      </c>
      <c r="D963" s="345" t="s">
        <v>1</v>
      </c>
      <c r="E963" s="345" t="s">
        <v>189</v>
      </c>
      <c r="F963" s="345" t="s">
        <v>8</v>
      </c>
      <c r="G963" s="143"/>
      <c r="H963" s="143"/>
      <c r="I963" s="143"/>
    </row>
    <row r="964" spans="2:11" ht="13.5" thickBot="1" x14ac:dyDescent="0.25">
      <c r="B964" s="345"/>
      <c r="C964" s="345"/>
      <c r="D964" s="345"/>
      <c r="E964" s="345"/>
      <c r="F964" s="345"/>
      <c r="G964" s="143"/>
      <c r="H964" s="143"/>
      <c r="I964" s="143"/>
    </row>
    <row r="965" spans="2:11" ht="60.75" thickBot="1" x14ac:dyDescent="0.25">
      <c r="B965" s="140" t="s">
        <v>95</v>
      </c>
      <c r="C965" s="268" t="s">
        <v>634</v>
      </c>
      <c r="D965" s="135" t="s">
        <v>635</v>
      </c>
      <c r="E965" s="133" t="s">
        <v>10</v>
      </c>
      <c r="F965" s="134">
        <f>SUM(F967:F971)</f>
        <v>6.7849999999999993</v>
      </c>
      <c r="G965" s="143"/>
      <c r="H965" s="143"/>
      <c r="I965" s="143"/>
    </row>
    <row r="966" spans="2:11" ht="13.5" thickBot="1" x14ac:dyDescent="0.25">
      <c r="B966" s="205" t="s">
        <v>234</v>
      </c>
      <c r="C966" s="205" t="s">
        <v>314</v>
      </c>
      <c r="D966" s="205" t="s">
        <v>255</v>
      </c>
      <c r="E966" s="205"/>
      <c r="F966" s="205" t="s">
        <v>300</v>
      </c>
      <c r="G966" s="349" t="s">
        <v>235</v>
      </c>
      <c r="H966" s="351"/>
      <c r="I966" s="350"/>
    </row>
    <row r="967" spans="2:11" ht="13.5" thickBot="1" x14ac:dyDescent="0.25">
      <c r="B967" s="158">
        <v>1</v>
      </c>
      <c r="C967" s="158">
        <v>0.25</v>
      </c>
      <c r="D967" s="158">
        <v>5.13</v>
      </c>
      <c r="E967" s="158"/>
      <c r="F967" s="204">
        <f>B967*C967*D967</f>
        <v>1.2825</v>
      </c>
      <c r="G967" s="367"/>
      <c r="H967" s="368"/>
      <c r="I967" s="369"/>
    </row>
    <row r="968" spans="2:11" ht="13.5" thickBot="1" x14ac:dyDescent="0.25">
      <c r="B968" s="158">
        <v>1</v>
      </c>
      <c r="C968" s="158">
        <v>0.25</v>
      </c>
      <c r="D968" s="158">
        <v>5.13</v>
      </c>
      <c r="E968" s="158"/>
      <c r="F968" s="204">
        <f>B968*C968*D968</f>
        <v>1.2825</v>
      </c>
      <c r="G968" s="367"/>
      <c r="H968" s="368"/>
      <c r="I968" s="369"/>
    </row>
    <row r="969" spans="2:11" ht="13.5" thickBot="1" x14ac:dyDescent="0.25">
      <c r="B969" s="158">
        <v>1</v>
      </c>
      <c r="C969" s="158">
        <v>0.25</v>
      </c>
      <c r="D969" s="158">
        <v>6.75</v>
      </c>
      <c r="E969" s="158"/>
      <c r="F969" s="204">
        <f>B969*C969*D969</f>
        <v>1.6875</v>
      </c>
      <c r="G969" s="367"/>
      <c r="H969" s="368"/>
      <c r="I969" s="369"/>
    </row>
    <row r="970" spans="2:11" ht="13.5" thickBot="1" x14ac:dyDescent="0.25">
      <c r="B970" s="158">
        <v>1</v>
      </c>
      <c r="C970" s="158">
        <v>0.25</v>
      </c>
      <c r="D970" s="158">
        <v>5</v>
      </c>
      <c r="E970" s="158"/>
      <c r="F970" s="204">
        <f>B970*C970*D970</f>
        <v>1.25</v>
      </c>
      <c r="G970" s="367"/>
      <c r="H970" s="368"/>
      <c r="I970" s="369"/>
    </row>
    <row r="971" spans="2:11" ht="13.5" thickBot="1" x14ac:dyDescent="0.25">
      <c r="B971" s="158">
        <v>1</v>
      </c>
      <c r="C971" s="158">
        <v>0.25</v>
      </c>
      <c r="D971" s="158">
        <v>5.13</v>
      </c>
      <c r="E971" s="158"/>
      <c r="F971" s="204">
        <f>B971*C971*D971</f>
        <v>1.2825</v>
      </c>
      <c r="G971" s="367"/>
      <c r="H971" s="368"/>
      <c r="I971" s="369"/>
      <c r="K971" s="143" t="s">
        <v>433</v>
      </c>
    </row>
    <row r="972" spans="2:11" ht="13.5" thickBot="1" x14ac:dyDescent="0.25"/>
    <row r="973" spans="2:11" ht="13.5" thickBot="1" x14ac:dyDescent="0.25">
      <c r="B973" s="345" t="s">
        <v>0</v>
      </c>
      <c r="C973" s="345" t="s">
        <v>9</v>
      </c>
      <c r="D973" s="345" t="s">
        <v>1</v>
      </c>
      <c r="E973" s="345" t="s">
        <v>189</v>
      </c>
      <c r="F973" s="345" t="s">
        <v>8</v>
      </c>
      <c r="G973" s="143"/>
      <c r="H973" s="143"/>
      <c r="I973" s="143"/>
    </row>
    <row r="974" spans="2:11" ht="13.5" thickBot="1" x14ac:dyDescent="0.25">
      <c r="B974" s="345"/>
      <c r="C974" s="345"/>
      <c r="D974" s="345"/>
      <c r="E974" s="345"/>
      <c r="F974" s="345"/>
      <c r="G974" s="143"/>
      <c r="H974" s="143"/>
      <c r="I974" s="143"/>
    </row>
    <row r="975" spans="2:11" ht="13.5" thickBot="1" x14ac:dyDescent="0.25">
      <c r="B975" s="140" t="s">
        <v>120</v>
      </c>
      <c r="C975" s="262" t="s">
        <v>637</v>
      </c>
      <c r="D975" s="135" t="s">
        <v>636</v>
      </c>
      <c r="E975" s="133" t="s">
        <v>12</v>
      </c>
      <c r="F975" s="134">
        <f>SUM(F977:F978)</f>
        <v>1.56</v>
      </c>
      <c r="G975" s="143"/>
      <c r="H975" s="143"/>
      <c r="I975" s="143"/>
    </row>
    <row r="976" spans="2:11" ht="13.5" thickBot="1" x14ac:dyDescent="0.25">
      <c r="B976" s="148" t="s">
        <v>234</v>
      </c>
      <c r="C976" s="148"/>
      <c r="D976" s="148" t="s">
        <v>255</v>
      </c>
      <c r="E976" s="148"/>
      <c r="F976" s="148" t="s">
        <v>317</v>
      </c>
      <c r="G976" s="349" t="s">
        <v>235</v>
      </c>
      <c r="H976" s="351"/>
      <c r="I976" s="350"/>
    </row>
    <row r="977" spans="2:11" ht="13.5" thickBot="1" x14ac:dyDescent="0.25">
      <c r="B977" s="158">
        <v>1</v>
      </c>
      <c r="C977" s="158"/>
      <c r="D977" s="144">
        <v>0.63</v>
      </c>
      <c r="E977" s="158"/>
      <c r="F977" s="144">
        <f>D977</f>
        <v>0.63</v>
      </c>
      <c r="G977" s="352"/>
      <c r="H977" s="353"/>
      <c r="I977" s="354"/>
    </row>
    <row r="978" spans="2:11" ht="13.5" thickBot="1" x14ac:dyDescent="0.25">
      <c r="B978" s="158">
        <v>1</v>
      </c>
      <c r="C978" s="158"/>
      <c r="D978" s="144">
        <v>0.93</v>
      </c>
      <c r="E978" s="158"/>
      <c r="F978" s="144">
        <f>D978</f>
        <v>0.93</v>
      </c>
      <c r="G978" s="352"/>
      <c r="H978" s="353"/>
      <c r="I978" s="354"/>
      <c r="K978" s="143" t="s">
        <v>397</v>
      </c>
    </row>
    <row r="979" spans="2:11" ht="13.5" thickBot="1" x14ac:dyDescent="0.25"/>
    <row r="980" spans="2:11" ht="13.5" thickBot="1" x14ac:dyDescent="0.25">
      <c r="B980" s="345" t="s">
        <v>0</v>
      </c>
      <c r="C980" s="345" t="s">
        <v>9</v>
      </c>
      <c r="D980" s="345" t="s">
        <v>1</v>
      </c>
      <c r="E980" s="345" t="s">
        <v>189</v>
      </c>
      <c r="F980" s="345" t="s">
        <v>8</v>
      </c>
      <c r="G980" s="143"/>
      <c r="H980" s="143"/>
      <c r="I980" s="143"/>
    </row>
    <row r="981" spans="2:11" ht="13.5" thickBot="1" x14ac:dyDescent="0.25">
      <c r="B981" s="345"/>
      <c r="C981" s="345"/>
      <c r="D981" s="345"/>
      <c r="E981" s="345"/>
      <c r="F981" s="345"/>
      <c r="G981" s="143"/>
      <c r="H981" s="143"/>
      <c r="I981" s="143"/>
    </row>
    <row r="982" spans="2:11" ht="13.5" thickBot="1" x14ac:dyDescent="0.25">
      <c r="B982" s="140" t="s">
        <v>733</v>
      </c>
      <c r="C982" s="268" t="s">
        <v>638</v>
      </c>
      <c r="D982" s="135" t="s">
        <v>639</v>
      </c>
      <c r="E982" s="133" t="s">
        <v>12</v>
      </c>
      <c r="F982" s="134">
        <f>SUM(F984:F985)</f>
        <v>14.4</v>
      </c>
      <c r="G982" s="143"/>
      <c r="H982" s="143"/>
      <c r="I982" s="143"/>
    </row>
    <row r="983" spans="2:11" ht="24.75" thickBot="1" x14ac:dyDescent="0.25">
      <c r="B983" s="148" t="s">
        <v>234</v>
      </c>
      <c r="C983" s="148"/>
      <c r="D983" s="148" t="s">
        <v>255</v>
      </c>
      <c r="E983" s="148" t="s">
        <v>360</v>
      </c>
      <c r="F983" s="148" t="s">
        <v>300</v>
      </c>
      <c r="G983" s="349" t="s">
        <v>235</v>
      </c>
      <c r="H983" s="351"/>
      <c r="I983" s="350"/>
    </row>
    <row r="984" spans="2:11" ht="13.5" thickBot="1" x14ac:dyDescent="0.25">
      <c r="B984" s="158">
        <v>1</v>
      </c>
      <c r="C984" s="158"/>
      <c r="D984" s="158">
        <f>2.05+5.2+2.95+2.4</f>
        <v>12.6</v>
      </c>
      <c r="E984" s="158"/>
      <c r="F984" s="158">
        <f>D984</f>
        <v>12.6</v>
      </c>
      <c r="G984" s="388" t="s">
        <v>402</v>
      </c>
      <c r="H984" s="389"/>
      <c r="I984" s="390"/>
    </row>
    <row r="985" spans="2:11" ht="13.5" thickBot="1" x14ac:dyDescent="0.25">
      <c r="B985" s="158">
        <v>1</v>
      </c>
      <c r="C985" s="158"/>
      <c r="D985" s="158">
        <f>0.9+0.9</f>
        <v>1.8</v>
      </c>
      <c r="E985" s="158"/>
      <c r="F985" s="158">
        <f>D985</f>
        <v>1.8</v>
      </c>
      <c r="G985" s="391"/>
      <c r="H985" s="392"/>
      <c r="I985" s="393"/>
      <c r="K985" s="143" t="s">
        <v>397</v>
      </c>
    </row>
    <row r="987" spans="2:11" ht="13.5" thickBot="1" x14ac:dyDescent="0.25"/>
    <row r="988" spans="2:11" ht="15.75" thickBot="1" x14ac:dyDescent="0.25">
      <c r="B988" s="145">
        <v>14</v>
      </c>
      <c r="C988" s="384" t="s">
        <v>41</v>
      </c>
      <c r="D988" s="384"/>
      <c r="E988" s="384"/>
      <c r="F988" s="384"/>
      <c r="G988" s="384"/>
      <c r="H988" s="384"/>
      <c r="I988" s="384"/>
    </row>
    <row r="990" spans="2:11" ht="13.5" thickBot="1" x14ac:dyDescent="0.25"/>
    <row r="991" spans="2:11" ht="13.5" thickBot="1" x14ac:dyDescent="0.25">
      <c r="B991" s="345" t="s">
        <v>0</v>
      </c>
      <c r="C991" s="345" t="s">
        <v>9</v>
      </c>
      <c r="D991" s="345" t="s">
        <v>1</v>
      </c>
      <c r="E991" s="345" t="s">
        <v>189</v>
      </c>
      <c r="F991" s="345" t="s">
        <v>8</v>
      </c>
      <c r="G991" s="143"/>
      <c r="H991" s="143"/>
      <c r="I991" s="143"/>
    </row>
    <row r="992" spans="2:11" ht="13.5" thickBot="1" x14ac:dyDescent="0.25">
      <c r="B992" s="345"/>
      <c r="C992" s="345"/>
      <c r="D992" s="345"/>
      <c r="E992" s="345"/>
      <c r="F992" s="345"/>
      <c r="G992" s="143"/>
      <c r="H992" s="143"/>
      <c r="I992" s="143"/>
    </row>
    <row r="993" spans="2:11" ht="24.75" thickBot="1" x14ac:dyDescent="0.25">
      <c r="B993" s="140" t="s">
        <v>21</v>
      </c>
      <c r="C993" s="138"/>
      <c r="D993" s="135" t="s">
        <v>103</v>
      </c>
      <c r="E993" s="133" t="s">
        <v>11</v>
      </c>
      <c r="F993" s="134">
        <f>SUM(F995)</f>
        <v>3</v>
      </c>
      <c r="G993" s="143"/>
      <c r="H993" s="143"/>
      <c r="I993" s="143"/>
    </row>
    <row r="994" spans="2:11" ht="13.5" thickBot="1" x14ac:dyDescent="0.25">
      <c r="B994" s="148" t="s">
        <v>234</v>
      </c>
      <c r="C994" s="148"/>
      <c r="D994" s="148"/>
      <c r="E994" s="148"/>
      <c r="F994" s="148" t="s">
        <v>376</v>
      </c>
      <c r="G994" s="349" t="s">
        <v>235</v>
      </c>
      <c r="H994" s="351"/>
      <c r="I994" s="350"/>
    </row>
    <row r="995" spans="2:11" ht="13.5" thickBot="1" x14ac:dyDescent="0.25">
      <c r="B995" s="158">
        <v>3</v>
      </c>
      <c r="C995" s="144"/>
      <c r="D995" s="144"/>
      <c r="E995" s="144"/>
      <c r="F995" s="144">
        <f>B995</f>
        <v>3</v>
      </c>
      <c r="G995" s="352"/>
      <c r="H995" s="353"/>
      <c r="I995" s="354"/>
      <c r="K995" s="143" t="s">
        <v>359</v>
      </c>
    </row>
    <row r="996" spans="2:11" ht="13.5" thickBot="1" x14ac:dyDescent="0.25"/>
    <row r="997" spans="2:11" ht="13.5" thickBot="1" x14ac:dyDescent="0.25">
      <c r="B997" s="345" t="s">
        <v>0</v>
      </c>
      <c r="C997" s="345" t="s">
        <v>9</v>
      </c>
      <c r="D997" s="345" t="s">
        <v>1</v>
      </c>
      <c r="E997" s="345" t="s">
        <v>189</v>
      </c>
      <c r="F997" s="345" t="s">
        <v>8</v>
      </c>
      <c r="G997" s="143"/>
      <c r="H997" s="143"/>
      <c r="I997" s="143"/>
    </row>
    <row r="998" spans="2:11" ht="13.5" thickBot="1" x14ac:dyDescent="0.25">
      <c r="B998" s="345"/>
      <c r="C998" s="345"/>
      <c r="D998" s="345"/>
      <c r="E998" s="345"/>
      <c r="F998" s="345"/>
      <c r="G998" s="143"/>
      <c r="H998" s="143"/>
      <c r="I998" s="143"/>
    </row>
    <row r="999" spans="2:11" ht="24.75" thickBot="1" x14ac:dyDescent="0.25">
      <c r="B999" s="140" t="s">
        <v>39</v>
      </c>
      <c r="C999" s="138"/>
      <c r="D999" s="135" t="s">
        <v>212</v>
      </c>
      <c r="E999" s="133" t="s">
        <v>11</v>
      </c>
      <c r="F999" s="134">
        <f>SUM(F1001)</f>
        <v>1</v>
      </c>
      <c r="G999" s="143"/>
      <c r="H999" s="143"/>
      <c r="I999" s="143"/>
    </row>
    <row r="1000" spans="2:11" ht="24.75" thickBot="1" x14ac:dyDescent="0.25">
      <c r="B1000" s="148" t="s">
        <v>234</v>
      </c>
      <c r="C1000" s="148" t="s">
        <v>314</v>
      </c>
      <c r="D1000" s="148" t="s">
        <v>255</v>
      </c>
      <c r="E1000" s="148" t="s">
        <v>360</v>
      </c>
      <c r="F1000" s="148" t="s">
        <v>376</v>
      </c>
      <c r="G1000" s="349" t="s">
        <v>235</v>
      </c>
      <c r="H1000" s="351"/>
      <c r="I1000" s="350"/>
    </row>
    <row r="1001" spans="2:11" ht="13.5" thickBot="1" x14ac:dyDescent="0.25">
      <c r="B1001" s="158">
        <v>1</v>
      </c>
      <c r="C1001" s="144"/>
      <c r="D1001" s="144"/>
      <c r="E1001" s="144"/>
      <c r="F1001" s="144">
        <f>B1001</f>
        <v>1</v>
      </c>
      <c r="G1001" s="352"/>
      <c r="H1001" s="353"/>
      <c r="I1001" s="354"/>
    </row>
    <row r="1002" spans="2:11" ht="13.5" thickBot="1" x14ac:dyDescent="0.25"/>
    <row r="1003" spans="2:11" ht="13.5" thickBot="1" x14ac:dyDescent="0.25">
      <c r="B1003" s="345" t="s">
        <v>0</v>
      </c>
      <c r="C1003" s="345" t="s">
        <v>9</v>
      </c>
      <c r="D1003" s="345" t="s">
        <v>1</v>
      </c>
      <c r="E1003" s="345" t="s">
        <v>189</v>
      </c>
      <c r="F1003" s="345" t="s">
        <v>8</v>
      </c>
      <c r="G1003" s="143"/>
      <c r="H1003" s="143"/>
      <c r="I1003" s="143"/>
    </row>
    <row r="1004" spans="2:11" ht="13.5" thickBot="1" x14ac:dyDescent="0.25">
      <c r="B1004" s="345"/>
      <c r="C1004" s="345"/>
      <c r="D1004" s="345"/>
      <c r="E1004" s="345"/>
      <c r="F1004" s="345"/>
      <c r="G1004" s="143"/>
      <c r="H1004" s="143"/>
      <c r="I1004" s="143"/>
    </row>
    <row r="1005" spans="2:11" ht="24.75" thickBot="1" x14ac:dyDescent="0.25">
      <c r="B1005" s="140" t="s">
        <v>68</v>
      </c>
      <c r="C1005" s="138"/>
      <c r="D1005" s="135" t="s">
        <v>171</v>
      </c>
      <c r="E1005" s="133" t="s">
        <v>12</v>
      </c>
      <c r="F1005" s="134">
        <f>SUM(F1007)</f>
        <v>5.55</v>
      </c>
      <c r="G1005" s="143"/>
      <c r="H1005" s="143"/>
      <c r="I1005" s="143"/>
    </row>
    <row r="1006" spans="2:11" ht="13.5" thickBot="1" x14ac:dyDescent="0.25">
      <c r="B1006" s="148" t="s">
        <v>234</v>
      </c>
      <c r="C1006" s="148"/>
      <c r="D1006" s="148" t="s">
        <v>255</v>
      </c>
      <c r="E1006" s="148"/>
      <c r="F1006" s="148" t="s">
        <v>317</v>
      </c>
      <c r="G1006" s="349" t="s">
        <v>235</v>
      </c>
      <c r="H1006" s="351"/>
      <c r="I1006" s="350"/>
    </row>
    <row r="1007" spans="2:11" ht="13.5" thickBot="1" x14ac:dyDescent="0.25">
      <c r="B1007" s="158">
        <v>1</v>
      </c>
      <c r="C1007" s="144"/>
      <c r="D1007" s="144">
        <v>5.55</v>
      </c>
      <c r="E1007" s="144"/>
      <c r="F1007" s="144">
        <f>B1007*D1007</f>
        <v>5.55</v>
      </c>
      <c r="G1007" s="352"/>
      <c r="H1007" s="353"/>
      <c r="I1007" s="354"/>
      <c r="K1007" s="143" t="s">
        <v>359</v>
      </c>
    </row>
    <row r="1008" spans="2:11" ht="13.5" thickBot="1" x14ac:dyDescent="0.25">
      <c r="B1008" s="180"/>
      <c r="C1008" s="180"/>
      <c r="D1008" s="180"/>
      <c r="E1008" s="180"/>
      <c r="F1008" s="180"/>
      <c r="G1008" s="180"/>
      <c r="H1008" s="180"/>
      <c r="I1008" s="180"/>
    </row>
    <row r="1009" spans="2:11" ht="13.5" thickBot="1" x14ac:dyDescent="0.25">
      <c r="B1009" s="345" t="s">
        <v>0</v>
      </c>
      <c r="C1009" s="345" t="s">
        <v>9</v>
      </c>
      <c r="D1009" s="345" t="s">
        <v>1</v>
      </c>
      <c r="E1009" s="345" t="s">
        <v>189</v>
      </c>
      <c r="F1009" s="345" t="s">
        <v>8</v>
      </c>
      <c r="G1009" s="143"/>
      <c r="H1009" s="143"/>
      <c r="I1009" s="143"/>
    </row>
    <row r="1010" spans="2:11" ht="13.5" thickBot="1" x14ac:dyDescent="0.25">
      <c r="B1010" s="345"/>
      <c r="C1010" s="345"/>
      <c r="D1010" s="345"/>
      <c r="E1010" s="345"/>
      <c r="F1010" s="345"/>
      <c r="G1010" s="143"/>
      <c r="H1010" s="143"/>
      <c r="I1010" s="143"/>
    </row>
    <row r="1011" spans="2:11" ht="24.75" thickBot="1" x14ac:dyDescent="0.25">
      <c r="B1011" s="140" t="s">
        <v>69</v>
      </c>
      <c r="C1011" s="138"/>
      <c r="D1011" s="135" t="s">
        <v>445</v>
      </c>
      <c r="E1011" s="133" t="s">
        <v>12</v>
      </c>
      <c r="F1011" s="134">
        <f>SUM(F1013)</f>
        <v>2.4500000000000002</v>
      </c>
      <c r="G1011" s="143"/>
      <c r="H1011" s="143"/>
      <c r="I1011" s="143"/>
    </row>
    <row r="1012" spans="2:11" ht="13.5" thickBot="1" x14ac:dyDescent="0.25">
      <c r="B1012" s="148" t="s">
        <v>234</v>
      </c>
      <c r="C1012" s="148"/>
      <c r="D1012" s="148" t="s">
        <v>255</v>
      </c>
      <c r="E1012" s="148"/>
      <c r="F1012" s="148" t="s">
        <v>317</v>
      </c>
      <c r="G1012" s="349" t="s">
        <v>235</v>
      </c>
      <c r="H1012" s="351"/>
      <c r="I1012" s="350"/>
    </row>
    <row r="1013" spans="2:11" ht="13.5" thickBot="1" x14ac:dyDescent="0.25">
      <c r="B1013" s="158">
        <v>1</v>
      </c>
      <c r="C1013" s="144"/>
      <c r="D1013" s="144">
        <v>2.4500000000000002</v>
      </c>
      <c r="E1013" s="144"/>
      <c r="F1013" s="144">
        <f>B1013*D1013</f>
        <v>2.4500000000000002</v>
      </c>
      <c r="G1013" s="352"/>
      <c r="H1013" s="353"/>
      <c r="I1013" s="354"/>
    </row>
    <row r="1014" spans="2:11" ht="13.5" thickBot="1" x14ac:dyDescent="0.25"/>
    <row r="1015" spans="2:11" ht="13.5" thickBot="1" x14ac:dyDescent="0.25">
      <c r="B1015" s="345" t="s">
        <v>0</v>
      </c>
      <c r="C1015" s="345" t="s">
        <v>9</v>
      </c>
      <c r="D1015" s="345" t="s">
        <v>1</v>
      </c>
      <c r="E1015" s="345" t="s">
        <v>189</v>
      </c>
      <c r="F1015" s="345" t="s">
        <v>8</v>
      </c>
      <c r="G1015" s="143"/>
      <c r="H1015" s="143"/>
      <c r="I1015" s="143"/>
    </row>
    <row r="1016" spans="2:11" ht="13.5" thickBot="1" x14ac:dyDescent="0.25">
      <c r="B1016" s="345"/>
      <c r="C1016" s="345"/>
      <c r="D1016" s="345"/>
      <c r="E1016" s="345"/>
      <c r="F1016" s="345"/>
      <c r="G1016" s="143"/>
      <c r="H1016" s="143"/>
      <c r="I1016" s="143"/>
    </row>
    <row r="1017" spans="2:11" ht="24.75" thickBot="1" x14ac:dyDescent="0.25">
      <c r="B1017" s="140" t="s">
        <v>182</v>
      </c>
      <c r="C1017" s="138"/>
      <c r="D1017" s="135" t="s">
        <v>102</v>
      </c>
      <c r="E1017" s="133" t="s">
        <v>12</v>
      </c>
      <c r="F1017" s="134">
        <f>SUM(F1019)</f>
        <v>1.55</v>
      </c>
      <c r="G1017" s="143"/>
      <c r="H1017" s="143"/>
      <c r="I1017" s="143"/>
    </row>
    <row r="1018" spans="2:11" ht="13.5" thickBot="1" x14ac:dyDescent="0.25">
      <c r="B1018" s="148" t="s">
        <v>234</v>
      </c>
      <c r="C1018" s="148"/>
      <c r="D1018" s="148" t="s">
        <v>255</v>
      </c>
      <c r="E1018" s="148"/>
      <c r="F1018" s="148" t="s">
        <v>317</v>
      </c>
      <c r="G1018" s="349" t="s">
        <v>235</v>
      </c>
      <c r="H1018" s="351"/>
      <c r="I1018" s="350"/>
    </row>
    <row r="1019" spans="2:11" ht="13.5" thickBot="1" x14ac:dyDescent="0.25">
      <c r="B1019" s="158">
        <v>1</v>
      </c>
      <c r="C1019" s="144"/>
      <c r="D1019" s="144">
        <v>1.55</v>
      </c>
      <c r="E1019" s="144"/>
      <c r="F1019" s="144">
        <f>B1019*D1019</f>
        <v>1.55</v>
      </c>
      <c r="G1019" s="352"/>
      <c r="H1019" s="353"/>
      <c r="I1019" s="354"/>
      <c r="K1019" s="143" t="s">
        <v>393</v>
      </c>
    </row>
    <row r="1020" spans="2:11" ht="13.5" thickBot="1" x14ac:dyDescent="0.25"/>
    <row r="1021" spans="2:11" ht="13.5" thickBot="1" x14ac:dyDescent="0.25">
      <c r="B1021" s="345" t="s">
        <v>0</v>
      </c>
      <c r="C1021" s="345" t="s">
        <v>9</v>
      </c>
      <c r="D1021" s="345" t="s">
        <v>1</v>
      </c>
      <c r="E1021" s="345" t="s">
        <v>189</v>
      </c>
      <c r="F1021" s="345" t="s">
        <v>8</v>
      </c>
      <c r="G1021" s="143"/>
      <c r="H1021" s="143"/>
      <c r="I1021" s="143"/>
    </row>
    <row r="1022" spans="2:11" ht="13.5" thickBot="1" x14ac:dyDescent="0.25">
      <c r="B1022" s="345"/>
      <c r="C1022" s="345"/>
      <c r="D1022" s="345"/>
      <c r="E1022" s="345"/>
      <c r="F1022" s="345"/>
      <c r="G1022" s="143"/>
      <c r="H1022" s="143"/>
      <c r="I1022" s="143"/>
    </row>
    <row r="1023" spans="2:11" ht="24.75" thickBot="1" x14ac:dyDescent="0.25">
      <c r="B1023" s="140" t="s">
        <v>183</v>
      </c>
      <c r="C1023" s="138"/>
      <c r="D1023" s="135" t="s">
        <v>181</v>
      </c>
      <c r="E1023" s="133" t="s">
        <v>11</v>
      </c>
      <c r="F1023" s="134">
        <f>SUM(F1025)</f>
        <v>1</v>
      </c>
      <c r="G1023" s="143"/>
      <c r="H1023" s="143"/>
      <c r="I1023" s="143"/>
    </row>
    <row r="1024" spans="2:11" ht="24.75" customHeight="1" thickBot="1" x14ac:dyDescent="0.25">
      <c r="B1024" s="148" t="s">
        <v>234</v>
      </c>
      <c r="C1024" s="148" t="s">
        <v>314</v>
      </c>
      <c r="D1024" s="148"/>
      <c r="E1024" s="148"/>
      <c r="F1024" s="148" t="s">
        <v>300</v>
      </c>
      <c r="G1024" s="349" t="s">
        <v>235</v>
      </c>
      <c r="H1024" s="351"/>
      <c r="I1024" s="350"/>
    </row>
    <row r="1025" spans="2:9" ht="13.5" thickBot="1" x14ac:dyDescent="0.25">
      <c r="B1025" s="158">
        <v>1</v>
      </c>
      <c r="C1025" s="144"/>
      <c r="D1025" s="144"/>
      <c r="E1025" s="144"/>
      <c r="F1025" s="144">
        <f>B1025</f>
        <v>1</v>
      </c>
      <c r="G1025" s="352"/>
      <c r="H1025" s="353"/>
      <c r="I1025" s="354"/>
    </row>
    <row r="1026" spans="2:9" ht="13.5" thickBot="1" x14ac:dyDescent="0.25"/>
    <row r="1027" spans="2:9" ht="13.5" thickBot="1" x14ac:dyDescent="0.25">
      <c r="B1027" s="345" t="s">
        <v>0</v>
      </c>
      <c r="C1027" s="345" t="s">
        <v>9</v>
      </c>
      <c r="D1027" s="345" t="s">
        <v>1</v>
      </c>
      <c r="E1027" s="345" t="s">
        <v>189</v>
      </c>
      <c r="F1027" s="345" t="s">
        <v>8</v>
      </c>
      <c r="G1027" s="143"/>
      <c r="H1027" s="143"/>
      <c r="I1027" s="143"/>
    </row>
    <row r="1028" spans="2:9" ht="15.75" customHeight="1" thickBot="1" x14ac:dyDescent="0.25">
      <c r="B1028" s="345"/>
      <c r="C1028" s="345"/>
      <c r="D1028" s="345"/>
      <c r="E1028" s="345"/>
      <c r="F1028" s="345"/>
      <c r="G1028" s="143"/>
      <c r="H1028" s="143"/>
      <c r="I1028" s="143"/>
    </row>
    <row r="1029" spans="2:9" ht="13.5" thickBot="1" x14ac:dyDescent="0.25">
      <c r="B1029" s="140" t="s">
        <v>211</v>
      </c>
      <c r="C1029" s="138"/>
      <c r="D1029" s="135" t="s">
        <v>446</v>
      </c>
      <c r="E1029" s="133" t="s">
        <v>11</v>
      </c>
      <c r="F1029" s="134">
        <f>SUM(F1031)</f>
        <v>1</v>
      </c>
      <c r="G1029" s="143"/>
      <c r="H1029" s="143"/>
      <c r="I1029" s="143"/>
    </row>
    <row r="1030" spans="2:9" ht="24.75" thickBot="1" x14ac:dyDescent="0.25">
      <c r="B1030" s="148" t="s">
        <v>234</v>
      </c>
      <c r="C1030" s="148" t="s">
        <v>314</v>
      </c>
      <c r="D1030" s="148" t="s">
        <v>255</v>
      </c>
      <c r="E1030" s="148" t="s">
        <v>360</v>
      </c>
      <c r="F1030" s="148" t="s">
        <v>300</v>
      </c>
      <c r="G1030" s="349" t="s">
        <v>235</v>
      </c>
      <c r="H1030" s="351"/>
      <c r="I1030" s="350"/>
    </row>
    <row r="1031" spans="2:9" ht="13.5" thickBot="1" x14ac:dyDescent="0.25">
      <c r="B1031" s="158">
        <v>1</v>
      </c>
      <c r="C1031" s="144"/>
      <c r="D1031" s="144"/>
      <c r="E1031" s="144"/>
      <c r="F1031" s="144">
        <f>B1031</f>
        <v>1</v>
      </c>
      <c r="G1031" s="352"/>
      <c r="H1031" s="353"/>
      <c r="I1031" s="354"/>
    </row>
    <row r="1032" spans="2:9" x14ac:dyDescent="0.2">
      <c r="B1032" s="171"/>
      <c r="C1032" s="172"/>
      <c r="D1032" s="172"/>
      <c r="E1032" s="172"/>
      <c r="F1032" s="172"/>
      <c r="G1032" s="172"/>
      <c r="H1032" s="172"/>
      <c r="I1032" s="172"/>
    </row>
    <row r="1033" spans="2:9" x14ac:dyDescent="0.2">
      <c r="B1033" s="171"/>
      <c r="C1033" s="172"/>
      <c r="D1033" s="172"/>
      <c r="E1033" s="172"/>
      <c r="F1033" s="172"/>
      <c r="G1033" s="172"/>
      <c r="H1033" s="172"/>
      <c r="I1033" s="172"/>
    </row>
    <row r="1034" spans="2:9" x14ac:dyDescent="0.2">
      <c r="B1034" s="171"/>
      <c r="C1034" s="172"/>
      <c r="D1034" s="172"/>
      <c r="E1034" s="172"/>
      <c r="F1034" s="172"/>
      <c r="G1034" s="172"/>
      <c r="H1034" s="172"/>
      <c r="I1034" s="172"/>
    </row>
    <row r="1035" spans="2:9" x14ac:dyDescent="0.2">
      <c r="B1035" s="171"/>
      <c r="C1035" s="172"/>
      <c r="D1035" s="172"/>
      <c r="E1035" s="172"/>
      <c r="F1035" s="172"/>
      <c r="G1035" s="172"/>
      <c r="H1035" s="172"/>
      <c r="I1035" s="172"/>
    </row>
    <row r="1036" spans="2:9" x14ac:dyDescent="0.2">
      <c r="B1036" s="171"/>
      <c r="C1036" s="172"/>
      <c r="D1036" s="172"/>
      <c r="E1036" s="172"/>
      <c r="F1036" s="172"/>
      <c r="G1036" s="172"/>
      <c r="H1036" s="172"/>
      <c r="I1036" s="172"/>
    </row>
    <row r="1037" spans="2:9" x14ac:dyDescent="0.2">
      <c r="B1037" s="171"/>
      <c r="C1037" s="172"/>
      <c r="D1037" s="172"/>
      <c r="E1037" s="172"/>
      <c r="F1037" s="172"/>
      <c r="G1037" s="172"/>
      <c r="H1037" s="172"/>
      <c r="I1037" s="172"/>
    </row>
    <row r="1038" spans="2:9" x14ac:dyDescent="0.2">
      <c r="B1038" s="171"/>
      <c r="C1038" s="172"/>
      <c r="D1038" s="172"/>
      <c r="E1038" s="172"/>
      <c r="F1038" s="172"/>
      <c r="G1038" s="172"/>
      <c r="H1038" s="172"/>
      <c r="I1038" s="172"/>
    </row>
    <row r="1039" spans="2:9" x14ac:dyDescent="0.2">
      <c r="B1039" s="171"/>
      <c r="C1039" s="172"/>
      <c r="D1039" s="172"/>
      <c r="E1039" s="172"/>
      <c r="F1039" s="172"/>
      <c r="G1039" s="172"/>
      <c r="H1039" s="172"/>
      <c r="I1039" s="172"/>
    </row>
    <row r="1040" spans="2:9" x14ac:dyDescent="0.2">
      <c r="B1040" s="171"/>
      <c r="C1040" s="172"/>
      <c r="D1040" s="172"/>
      <c r="E1040" s="172"/>
      <c r="F1040" s="172"/>
      <c r="G1040" s="172"/>
      <c r="H1040" s="172"/>
      <c r="I1040" s="172"/>
    </row>
    <row r="1041" spans="2:9" x14ac:dyDescent="0.2">
      <c r="B1041" s="171"/>
      <c r="C1041" s="172"/>
      <c r="D1041" s="172"/>
      <c r="E1041" s="172"/>
      <c r="F1041" s="172"/>
      <c r="G1041" s="172"/>
      <c r="H1041" s="172"/>
      <c r="I1041" s="172"/>
    </row>
    <row r="1042" spans="2:9" x14ac:dyDescent="0.2">
      <c r="B1042" s="171"/>
      <c r="C1042" s="172"/>
      <c r="D1042" s="172"/>
      <c r="E1042" s="172"/>
      <c r="F1042" s="172"/>
      <c r="G1042" s="172"/>
      <c r="H1042" s="172"/>
      <c r="I1042" s="172"/>
    </row>
    <row r="1043" spans="2:9" x14ac:dyDescent="0.2">
      <c r="B1043" s="171"/>
      <c r="C1043" s="172"/>
      <c r="D1043" s="172"/>
      <c r="E1043" s="172"/>
      <c r="F1043" s="172"/>
      <c r="G1043" s="172"/>
      <c r="H1043" s="172"/>
      <c r="I1043" s="172"/>
    </row>
    <row r="1044" spans="2:9" x14ac:dyDescent="0.2">
      <c r="B1044" s="171"/>
      <c r="C1044" s="172"/>
      <c r="D1044" s="172"/>
      <c r="E1044" s="172"/>
      <c r="F1044" s="172"/>
      <c r="G1044" s="172"/>
      <c r="H1044" s="172"/>
      <c r="I1044" s="172"/>
    </row>
    <row r="1045" spans="2:9" x14ac:dyDescent="0.2">
      <c r="B1045" s="171"/>
      <c r="C1045" s="172"/>
      <c r="D1045" s="172"/>
      <c r="E1045" s="172"/>
      <c r="F1045" s="172"/>
      <c r="G1045" s="172"/>
      <c r="H1045" s="172"/>
      <c r="I1045" s="172"/>
    </row>
    <row r="1046" spans="2:9" x14ac:dyDescent="0.2">
      <c r="B1046" s="171"/>
      <c r="C1046" s="172"/>
      <c r="D1046" s="172"/>
      <c r="E1046" s="172"/>
      <c r="F1046" s="172"/>
      <c r="G1046" s="172"/>
      <c r="H1046" s="172"/>
      <c r="I1046" s="172"/>
    </row>
    <row r="1047" spans="2:9" x14ac:dyDescent="0.2">
      <c r="B1047" s="171"/>
      <c r="C1047" s="172"/>
      <c r="D1047" s="172"/>
      <c r="E1047" s="172"/>
      <c r="F1047" s="172"/>
      <c r="G1047" s="172"/>
      <c r="H1047" s="172"/>
      <c r="I1047" s="172"/>
    </row>
    <row r="1048" spans="2:9" x14ac:dyDescent="0.2">
      <c r="B1048" s="171"/>
      <c r="C1048" s="172"/>
      <c r="D1048" s="172"/>
      <c r="E1048" s="172"/>
      <c r="F1048" s="172"/>
      <c r="G1048" s="172"/>
      <c r="H1048" s="172"/>
      <c r="I1048" s="172"/>
    </row>
    <row r="1049" spans="2:9" x14ac:dyDescent="0.2">
      <c r="B1049" s="171"/>
      <c r="C1049" s="172"/>
      <c r="D1049" s="172"/>
      <c r="E1049" s="172"/>
      <c r="F1049" s="172"/>
      <c r="G1049" s="172"/>
      <c r="H1049" s="172"/>
      <c r="I1049" s="172"/>
    </row>
    <row r="1050" spans="2:9" x14ac:dyDescent="0.2">
      <c r="B1050" s="171"/>
      <c r="C1050" s="172"/>
      <c r="D1050" s="172"/>
      <c r="E1050" s="172"/>
      <c r="F1050" s="172"/>
      <c r="G1050" s="172"/>
      <c r="H1050" s="172"/>
      <c r="I1050" s="172"/>
    </row>
    <row r="1051" spans="2:9" x14ac:dyDescent="0.2">
      <c r="B1051" s="171"/>
      <c r="C1051" s="172"/>
      <c r="D1051" s="172"/>
      <c r="E1051" s="172"/>
      <c r="F1051" s="172"/>
      <c r="G1051" s="172"/>
      <c r="H1051" s="172"/>
      <c r="I1051" s="172"/>
    </row>
    <row r="1052" spans="2:9" x14ac:dyDescent="0.2">
      <c r="B1052" s="171"/>
      <c r="C1052" s="172"/>
      <c r="D1052" s="172"/>
      <c r="E1052" s="172"/>
      <c r="F1052" s="172"/>
      <c r="G1052" s="172"/>
      <c r="H1052" s="172"/>
      <c r="I1052" s="172"/>
    </row>
    <row r="1053" spans="2:9" x14ac:dyDescent="0.2">
      <c r="B1053" s="171"/>
      <c r="C1053" s="172"/>
      <c r="D1053" s="172"/>
      <c r="E1053" s="172"/>
      <c r="F1053" s="172"/>
      <c r="G1053" s="172"/>
      <c r="H1053" s="172"/>
      <c r="I1053" s="172"/>
    </row>
    <row r="1054" spans="2:9" x14ac:dyDescent="0.2">
      <c r="B1054" s="171"/>
      <c r="C1054" s="172"/>
      <c r="D1054" s="172"/>
      <c r="E1054" s="172"/>
      <c r="F1054" s="172"/>
      <c r="G1054" s="172"/>
      <c r="H1054" s="172"/>
      <c r="I1054" s="172"/>
    </row>
    <row r="1055" spans="2:9" x14ac:dyDescent="0.2">
      <c r="B1055" s="171"/>
      <c r="C1055" s="172"/>
      <c r="D1055" s="172"/>
      <c r="E1055" s="172"/>
      <c r="F1055" s="172"/>
      <c r="G1055" s="172"/>
      <c r="H1055" s="172"/>
      <c r="I1055" s="172"/>
    </row>
    <row r="1056" spans="2:9" x14ac:dyDescent="0.2">
      <c r="B1056" s="171"/>
      <c r="C1056" s="172"/>
      <c r="D1056" s="172"/>
      <c r="E1056" s="172"/>
      <c r="F1056" s="172"/>
      <c r="G1056" s="172"/>
      <c r="H1056" s="172"/>
      <c r="I1056" s="172"/>
    </row>
    <row r="1057" spans="2:9" x14ac:dyDescent="0.2">
      <c r="B1057" s="171"/>
      <c r="C1057" s="172"/>
      <c r="D1057" s="172"/>
      <c r="E1057" s="172"/>
      <c r="F1057" s="172"/>
      <c r="G1057" s="172"/>
      <c r="H1057" s="172"/>
      <c r="I1057" s="172"/>
    </row>
    <row r="1058" spans="2:9" x14ac:dyDescent="0.2">
      <c r="B1058" s="171"/>
      <c r="C1058" s="172"/>
      <c r="D1058" s="172"/>
      <c r="E1058" s="172"/>
      <c r="F1058" s="172"/>
      <c r="G1058" s="172"/>
      <c r="H1058" s="172"/>
      <c r="I1058" s="172"/>
    </row>
    <row r="1059" spans="2:9" x14ac:dyDescent="0.2">
      <c r="B1059" s="171"/>
      <c r="C1059" s="172"/>
      <c r="D1059" s="172"/>
      <c r="E1059" s="172"/>
      <c r="F1059" s="172"/>
      <c r="G1059" s="172"/>
      <c r="H1059" s="172"/>
      <c r="I1059" s="172"/>
    </row>
    <row r="1060" spans="2:9" x14ac:dyDescent="0.2">
      <c r="B1060" s="171"/>
      <c r="C1060" s="172"/>
      <c r="D1060" s="172"/>
      <c r="E1060" s="172"/>
      <c r="F1060" s="172"/>
      <c r="G1060" s="172"/>
      <c r="H1060" s="172"/>
      <c r="I1060" s="172"/>
    </row>
    <row r="1061" spans="2:9" x14ac:dyDescent="0.2">
      <c r="B1061" s="171"/>
      <c r="C1061" s="172"/>
      <c r="D1061" s="172"/>
      <c r="E1061" s="172"/>
      <c r="F1061" s="172"/>
      <c r="G1061" s="172"/>
      <c r="H1061" s="172"/>
      <c r="I1061" s="172"/>
    </row>
    <row r="1062" spans="2:9" x14ac:dyDescent="0.2">
      <c r="B1062" s="171"/>
      <c r="C1062" s="172"/>
      <c r="D1062" s="172"/>
      <c r="E1062" s="172"/>
      <c r="F1062" s="172"/>
      <c r="G1062" s="172"/>
      <c r="H1062" s="172"/>
      <c r="I1062" s="172"/>
    </row>
    <row r="1063" spans="2:9" x14ac:dyDescent="0.2">
      <c r="B1063" s="171"/>
      <c r="C1063" s="172"/>
      <c r="D1063" s="172"/>
      <c r="E1063" s="172"/>
      <c r="F1063" s="172"/>
      <c r="G1063" s="172"/>
      <c r="H1063" s="172"/>
      <c r="I1063" s="172"/>
    </row>
    <row r="1064" spans="2:9" x14ac:dyDescent="0.2">
      <c r="B1064" s="171"/>
      <c r="C1064" s="172"/>
      <c r="D1064" s="172"/>
      <c r="E1064" s="172"/>
      <c r="F1064" s="172"/>
      <c r="G1064" s="172"/>
      <c r="H1064" s="172"/>
      <c r="I1064" s="172"/>
    </row>
    <row r="1065" spans="2:9" x14ac:dyDescent="0.2">
      <c r="B1065" s="171"/>
      <c r="C1065" s="172"/>
      <c r="D1065" s="172"/>
      <c r="E1065" s="172"/>
      <c r="F1065" s="172"/>
      <c r="G1065" s="172"/>
      <c r="H1065" s="172"/>
      <c r="I1065" s="172"/>
    </row>
    <row r="1066" spans="2:9" x14ac:dyDescent="0.2">
      <c r="B1066" s="171"/>
      <c r="C1066" s="172"/>
      <c r="D1066" s="172"/>
      <c r="E1066" s="172"/>
      <c r="F1066" s="172"/>
      <c r="G1066" s="172"/>
      <c r="H1066" s="172"/>
      <c r="I1066" s="172"/>
    </row>
    <row r="1067" spans="2:9" x14ac:dyDescent="0.2">
      <c r="B1067" s="171"/>
      <c r="C1067" s="172"/>
      <c r="D1067" s="172"/>
      <c r="E1067" s="172"/>
      <c r="F1067" s="172"/>
      <c r="G1067" s="172"/>
      <c r="H1067" s="172"/>
      <c r="I1067" s="172"/>
    </row>
    <row r="1068" spans="2:9" x14ac:dyDescent="0.2">
      <c r="B1068" s="171"/>
      <c r="C1068" s="172"/>
      <c r="D1068" s="172"/>
      <c r="E1068" s="172"/>
      <c r="F1068" s="172"/>
      <c r="G1068" s="172"/>
      <c r="H1068" s="172"/>
      <c r="I1068" s="172"/>
    </row>
    <row r="1069" spans="2:9" x14ac:dyDescent="0.2">
      <c r="B1069" s="171"/>
      <c r="C1069" s="172"/>
      <c r="D1069" s="172"/>
      <c r="E1069" s="172"/>
      <c r="F1069" s="172"/>
      <c r="G1069" s="172"/>
      <c r="H1069" s="172"/>
      <c r="I1069" s="172"/>
    </row>
    <row r="1070" spans="2:9" x14ac:dyDescent="0.2">
      <c r="B1070" s="171"/>
      <c r="C1070" s="172"/>
      <c r="D1070" s="172"/>
      <c r="E1070" s="172"/>
      <c r="F1070" s="172"/>
      <c r="G1070" s="172"/>
      <c r="H1070" s="172"/>
      <c r="I1070" s="172"/>
    </row>
    <row r="1071" spans="2:9" x14ac:dyDescent="0.2">
      <c r="B1071" s="171"/>
      <c r="C1071" s="172"/>
      <c r="D1071" s="172"/>
      <c r="E1071" s="172"/>
      <c r="F1071" s="172"/>
      <c r="G1071" s="172"/>
      <c r="H1071" s="172"/>
      <c r="I1071" s="172"/>
    </row>
    <row r="1072" spans="2:9" x14ac:dyDescent="0.2">
      <c r="B1072" s="171"/>
      <c r="C1072" s="172"/>
      <c r="D1072" s="172"/>
      <c r="E1072" s="172"/>
      <c r="F1072" s="172"/>
      <c r="G1072" s="172"/>
      <c r="H1072" s="172"/>
      <c r="I1072" s="172"/>
    </row>
    <row r="1073" spans="2:9" x14ac:dyDescent="0.2">
      <c r="B1073" s="171"/>
      <c r="C1073" s="172"/>
      <c r="D1073" s="172"/>
      <c r="E1073" s="172"/>
      <c r="F1073" s="172"/>
      <c r="G1073" s="172"/>
      <c r="H1073" s="172"/>
      <c r="I1073" s="172"/>
    </row>
    <row r="1074" spans="2:9" x14ac:dyDescent="0.2">
      <c r="B1074" s="171"/>
      <c r="C1074" s="172"/>
      <c r="D1074" s="172"/>
      <c r="E1074" s="172"/>
      <c r="F1074" s="172"/>
      <c r="G1074" s="172"/>
      <c r="H1074" s="172"/>
      <c r="I1074" s="172"/>
    </row>
    <row r="1075" spans="2:9" x14ac:dyDescent="0.2">
      <c r="B1075" s="171"/>
      <c r="C1075" s="172"/>
      <c r="D1075" s="172"/>
      <c r="E1075" s="172"/>
      <c r="F1075" s="172"/>
      <c r="G1075" s="172"/>
      <c r="H1075" s="172"/>
      <c r="I1075" s="172"/>
    </row>
    <row r="1076" spans="2:9" x14ac:dyDescent="0.2">
      <c r="B1076" s="171"/>
      <c r="C1076" s="172"/>
      <c r="D1076" s="172"/>
      <c r="E1076" s="172"/>
      <c r="F1076" s="172"/>
      <c r="G1076" s="172"/>
      <c r="H1076" s="172"/>
      <c r="I1076" s="172"/>
    </row>
    <row r="1077" spans="2:9" x14ac:dyDescent="0.2">
      <c r="B1077" s="171"/>
      <c r="C1077" s="172"/>
      <c r="D1077" s="172"/>
      <c r="E1077" s="172"/>
      <c r="F1077" s="172"/>
      <c r="G1077" s="172"/>
      <c r="H1077" s="172"/>
      <c r="I1077" s="172"/>
    </row>
    <row r="1078" spans="2:9" x14ac:dyDescent="0.2">
      <c r="B1078" s="171"/>
      <c r="C1078" s="172"/>
      <c r="D1078" s="172"/>
      <c r="E1078" s="172"/>
      <c r="F1078" s="172"/>
      <c r="G1078" s="172"/>
      <c r="H1078" s="172"/>
      <c r="I1078" s="172"/>
    </row>
    <row r="1079" spans="2:9" x14ac:dyDescent="0.2">
      <c r="B1079" s="171"/>
      <c r="C1079" s="172"/>
      <c r="D1079" s="172"/>
      <c r="E1079" s="172"/>
      <c r="F1079" s="172"/>
      <c r="G1079" s="172"/>
      <c r="H1079" s="172"/>
      <c r="I1079" s="172"/>
    </row>
    <row r="1080" spans="2:9" x14ac:dyDescent="0.2">
      <c r="B1080" s="171"/>
      <c r="C1080" s="172"/>
      <c r="D1080" s="172"/>
      <c r="E1080" s="172"/>
      <c r="F1080" s="172"/>
      <c r="G1080" s="172"/>
      <c r="H1080" s="172"/>
      <c r="I1080" s="172"/>
    </row>
    <row r="1081" spans="2:9" x14ac:dyDescent="0.2">
      <c r="B1081" s="171"/>
      <c r="C1081" s="172"/>
      <c r="D1081" s="172"/>
      <c r="E1081" s="172"/>
      <c r="F1081" s="172"/>
      <c r="G1081" s="172"/>
      <c r="H1081" s="172"/>
      <c r="I1081" s="172"/>
    </row>
    <row r="1082" spans="2:9" x14ac:dyDescent="0.2">
      <c r="B1082" s="171"/>
      <c r="C1082" s="172"/>
      <c r="D1082" s="172"/>
      <c r="E1082" s="172"/>
      <c r="F1082" s="172"/>
      <c r="G1082" s="172"/>
      <c r="H1082" s="172"/>
      <c r="I1082" s="172"/>
    </row>
    <row r="1083" spans="2:9" x14ac:dyDescent="0.2">
      <c r="B1083" s="171"/>
      <c r="C1083" s="172"/>
      <c r="D1083" s="172"/>
      <c r="E1083" s="172"/>
      <c r="F1083" s="172"/>
      <c r="G1083" s="172"/>
      <c r="H1083" s="172"/>
      <c r="I1083" s="172"/>
    </row>
    <row r="1084" spans="2:9" x14ac:dyDescent="0.2">
      <c r="B1084" s="171"/>
      <c r="C1084" s="172"/>
      <c r="D1084" s="172"/>
      <c r="E1084" s="172"/>
      <c r="F1084" s="172"/>
      <c r="G1084" s="172"/>
      <c r="H1084" s="172"/>
      <c r="I1084" s="172"/>
    </row>
    <row r="1085" spans="2:9" x14ac:dyDescent="0.2">
      <c r="B1085" s="171"/>
      <c r="C1085" s="172"/>
      <c r="D1085" s="172"/>
      <c r="E1085" s="172"/>
      <c r="F1085" s="172"/>
      <c r="G1085" s="172"/>
      <c r="H1085" s="172"/>
      <c r="I1085" s="172"/>
    </row>
    <row r="1086" spans="2:9" x14ac:dyDescent="0.2">
      <c r="B1086" s="171"/>
      <c r="C1086" s="172"/>
      <c r="D1086" s="172"/>
      <c r="E1086" s="172"/>
      <c r="F1086" s="172"/>
      <c r="G1086" s="172"/>
      <c r="H1086" s="172"/>
      <c r="I1086" s="172"/>
    </row>
    <row r="1087" spans="2:9" x14ac:dyDescent="0.2">
      <c r="B1087" s="171"/>
      <c r="C1087" s="172"/>
      <c r="D1087" s="172"/>
      <c r="E1087" s="172"/>
      <c r="F1087" s="172"/>
      <c r="G1087" s="172"/>
      <c r="H1087" s="172"/>
      <c r="I1087" s="172"/>
    </row>
    <row r="1088" spans="2:9" x14ac:dyDescent="0.2">
      <c r="B1088" s="171"/>
      <c r="C1088" s="172"/>
      <c r="D1088" s="172"/>
      <c r="E1088" s="172"/>
      <c r="F1088" s="172"/>
      <c r="G1088" s="172"/>
      <c r="H1088" s="172"/>
      <c r="I1088" s="172"/>
    </row>
    <row r="1089" spans="2:9" x14ac:dyDescent="0.2">
      <c r="B1089" s="171"/>
      <c r="C1089" s="172"/>
      <c r="D1089" s="172"/>
      <c r="E1089" s="172"/>
      <c r="F1089" s="172"/>
      <c r="G1089" s="172"/>
      <c r="H1089" s="172"/>
      <c r="I1089" s="172"/>
    </row>
    <row r="1090" spans="2:9" x14ac:dyDescent="0.2">
      <c r="B1090" s="171"/>
      <c r="C1090" s="172"/>
      <c r="D1090" s="172"/>
      <c r="E1090" s="172"/>
      <c r="F1090" s="172"/>
      <c r="G1090" s="172"/>
      <c r="H1090" s="172"/>
      <c r="I1090" s="172"/>
    </row>
    <row r="1091" spans="2:9" x14ac:dyDescent="0.2">
      <c r="B1091" s="171"/>
      <c r="C1091" s="172"/>
      <c r="D1091" s="172"/>
      <c r="E1091" s="172"/>
      <c r="F1091" s="172"/>
      <c r="G1091" s="172"/>
      <c r="H1091" s="172"/>
      <c r="I1091" s="172"/>
    </row>
    <row r="1092" spans="2:9" x14ac:dyDescent="0.2">
      <c r="B1092" s="171"/>
      <c r="C1092" s="172"/>
      <c r="D1092" s="172"/>
      <c r="E1092" s="172"/>
      <c r="F1092" s="172"/>
      <c r="G1092" s="172"/>
      <c r="H1092" s="172"/>
      <c r="I1092" s="172"/>
    </row>
    <row r="1093" spans="2:9" x14ac:dyDescent="0.2">
      <c r="B1093" s="171"/>
      <c r="C1093" s="172"/>
      <c r="D1093" s="172"/>
      <c r="E1093" s="172"/>
      <c r="F1093" s="172"/>
      <c r="G1093" s="172"/>
      <c r="H1093" s="172"/>
      <c r="I1093" s="172"/>
    </row>
    <row r="1094" spans="2:9" x14ac:dyDescent="0.2">
      <c r="B1094" s="171"/>
      <c r="C1094" s="172"/>
      <c r="D1094" s="172"/>
      <c r="E1094" s="172"/>
      <c r="F1094" s="172"/>
      <c r="G1094" s="172"/>
      <c r="H1094" s="172"/>
      <c r="I1094" s="172"/>
    </row>
    <row r="1095" spans="2:9" x14ac:dyDescent="0.2">
      <c r="B1095" s="171"/>
      <c r="C1095" s="172"/>
      <c r="D1095" s="172"/>
      <c r="E1095" s="172"/>
      <c r="F1095" s="172"/>
      <c r="G1095" s="172"/>
      <c r="H1095" s="172"/>
      <c r="I1095" s="172"/>
    </row>
    <row r="1096" spans="2:9" x14ac:dyDescent="0.2">
      <c r="B1096" s="171"/>
      <c r="C1096" s="172"/>
      <c r="D1096" s="172"/>
      <c r="E1096" s="172"/>
      <c r="F1096" s="172"/>
      <c r="G1096" s="172"/>
      <c r="H1096" s="172"/>
      <c r="I1096" s="172"/>
    </row>
    <row r="1097" spans="2:9" x14ac:dyDescent="0.2">
      <c r="B1097" s="171"/>
      <c r="C1097" s="172"/>
      <c r="D1097" s="172"/>
      <c r="E1097" s="172"/>
      <c r="F1097" s="172"/>
      <c r="G1097" s="172"/>
      <c r="H1097" s="172"/>
      <c r="I1097" s="172"/>
    </row>
    <row r="1098" spans="2:9" x14ac:dyDescent="0.2">
      <c r="B1098" s="171"/>
      <c r="C1098" s="172"/>
      <c r="D1098" s="172"/>
      <c r="E1098" s="172"/>
      <c r="F1098" s="172"/>
      <c r="G1098" s="172"/>
      <c r="H1098" s="172"/>
      <c r="I1098" s="172"/>
    </row>
    <row r="1099" spans="2:9" x14ac:dyDescent="0.2">
      <c r="B1099" s="171"/>
      <c r="C1099" s="172"/>
      <c r="D1099" s="172"/>
      <c r="E1099" s="172"/>
      <c r="F1099" s="172"/>
      <c r="G1099" s="172"/>
      <c r="H1099" s="172"/>
      <c r="I1099" s="172"/>
    </row>
    <row r="1100" spans="2:9" x14ac:dyDescent="0.2">
      <c r="B1100" s="171"/>
      <c r="C1100" s="172"/>
      <c r="D1100" s="172"/>
      <c r="E1100" s="172"/>
      <c r="F1100" s="172"/>
      <c r="G1100" s="172"/>
      <c r="H1100" s="172"/>
      <c r="I1100" s="172"/>
    </row>
    <row r="1101" spans="2:9" x14ac:dyDescent="0.2">
      <c r="B1101" s="171"/>
      <c r="C1101" s="172"/>
      <c r="D1101" s="172"/>
      <c r="E1101" s="172"/>
      <c r="F1101" s="172"/>
      <c r="G1101" s="172"/>
      <c r="H1101" s="172"/>
      <c r="I1101" s="172"/>
    </row>
    <row r="1102" spans="2:9" x14ac:dyDescent="0.2">
      <c r="B1102" s="171"/>
      <c r="C1102" s="172"/>
      <c r="D1102" s="172"/>
      <c r="E1102" s="172"/>
      <c r="F1102" s="172"/>
      <c r="G1102" s="172"/>
      <c r="H1102" s="172"/>
      <c r="I1102" s="172"/>
    </row>
    <row r="1103" spans="2:9" x14ac:dyDescent="0.2">
      <c r="B1103" s="171"/>
      <c r="C1103" s="172"/>
      <c r="D1103" s="172"/>
      <c r="E1103" s="172"/>
      <c r="F1103" s="172"/>
      <c r="G1103" s="172"/>
      <c r="H1103" s="172"/>
      <c r="I1103" s="172"/>
    </row>
    <row r="1104" spans="2:9" x14ac:dyDescent="0.2">
      <c r="B1104" s="171"/>
      <c r="C1104" s="172"/>
      <c r="D1104" s="172"/>
      <c r="E1104" s="172"/>
      <c r="F1104" s="172"/>
      <c r="G1104" s="172"/>
      <c r="H1104" s="172"/>
      <c r="I1104" s="172"/>
    </row>
    <row r="1105" spans="2:9" x14ac:dyDescent="0.2">
      <c r="B1105" s="171"/>
      <c r="C1105" s="172"/>
      <c r="D1105" s="172"/>
      <c r="E1105" s="172"/>
      <c r="F1105" s="172"/>
      <c r="G1105" s="172"/>
      <c r="H1105" s="172"/>
      <c r="I1105" s="172"/>
    </row>
    <row r="1106" spans="2:9" x14ac:dyDescent="0.2">
      <c r="B1106" s="171"/>
      <c r="C1106" s="172"/>
      <c r="D1106" s="172"/>
      <c r="E1106" s="172"/>
      <c r="F1106" s="172"/>
      <c r="G1106" s="172"/>
      <c r="H1106" s="172"/>
      <c r="I1106" s="172"/>
    </row>
    <row r="1107" spans="2:9" x14ac:dyDescent="0.2">
      <c r="B1107" s="171"/>
      <c r="C1107" s="172"/>
      <c r="D1107" s="172"/>
      <c r="E1107" s="172"/>
      <c r="F1107" s="172"/>
      <c r="G1107" s="172"/>
      <c r="H1107" s="172"/>
      <c r="I1107" s="172"/>
    </row>
    <row r="1108" spans="2:9" x14ac:dyDescent="0.2">
      <c r="B1108" s="171"/>
      <c r="C1108" s="172"/>
      <c r="D1108" s="172"/>
      <c r="E1108" s="172"/>
      <c r="F1108" s="172"/>
      <c r="G1108" s="172"/>
      <c r="H1108" s="172"/>
      <c r="I1108" s="172"/>
    </row>
    <row r="1109" spans="2:9" ht="13.5" thickBot="1" x14ac:dyDescent="0.25"/>
    <row r="1110" spans="2:9" ht="15.75" thickBot="1" x14ac:dyDescent="0.25">
      <c r="B1110" s="145">
        <v>15</v>
      </c>
      <c r="C1110" s="384" t="s">
        <v>396</v>
      </c>
      <c r="D1110" s="384"/>
      <c r="E1110" s="384"/>
      <c r="F1110" s="384"/>
      <c r="G1110" s="384"/>
      <c r="H1110" s="384"/>
      <c r="I1110" s="384"/>
    </row>
    <row r="1112" spans="2:9" ht="13.5" thickBot="1" x14ac:dyDescent="0.25"/>
    <row r="1113" spans="2:9" ht="13.5" thickBot="1" x14ac:dyDescent="0.25">
      <c r="B1113" s="345" t="s">
        <v>0</v>
      </c>
      <c r="C1113" s="345" t="s">
        <v>9</v>
      </c>
      <c r="D1113" s="345" t="s">
        <v>1</v>
      </c>
      <c r="E1113" s="345" t="s">
        <v>189</v>
      </c>
      <c r="F1113" s="345" t="s">
        <v>8</v>
      </c>
      <c r="G1113" s="143"/>
      <c r="H1113" s="143"/>
      <c r="I1113" s="143"/>
    </row>
    <row r="1114" spans="2:9" ht="13.5" thickBot="1" x14ac:dyDescent="0.25">
      <c r="B1114" s="345"/>
      <c r="C1114" s="345"/>
      <c r="D1114" s="345"/>
      <c r="E1114" s="345"/>
      <c r="F1114" s="345"/>
      <c r="G1114" s="143"/>
      <c r="H1114" s="143"/>
      <c r="I1114" s="143"/>
    </row>
    <row r="1115" spans="2:9" ht="36.75" thickBot="1" x14ac:dyDescent="0.25">
      <c r="B1115" s="140" t="s">
        <v>121</v>
      </c>
      <c r="C1115" s="268">
        <v>91931</v>
      </c>
      <c r="D1115" s="135" t="s">
        <v>669</v>
      </c>
      <c r="E1115" s="133" t="s">
        <v>11</v>
      </c>
      <c r="F1115" s="134">
        <f>SUM(F1117)</f>
        <v>15</v>
      </c>
      <c r="G1115" s="143"/>
      <c r="H1115" s="143"/>
      <c r="I1115" s="143"/>
    </row>
    <row r="1116" spans="2:9" ht="13.5" thickBot="1" x14ac:dyDescent="0.25">
      <c r="B1116" s="268" t="s">
        <v>234</v>
      </c>
      <c r="C1116" s="268"/>
      <c r="D1116" s="268"/>
      <c r="E1116" s="268"/>
      <c r="F1116" s="268" t="s">
        <v>376</v>
      </c>
      <c r="G1116" s="349" t="s">
        <v>235</v>
      </c>
      <c r="H1116" s="351"/>
      <c r="I1116" s="350"/>
    </row>
    <row r="1117" spans="2:9" ht="13.5" thickBot="1" x14ac:dyDescent="0.25">
      <c r="B1117" s="158">
        <v>15</v>
      </c>
      <c r="C1117" s="267"/>
      <c r="D1117" s="267"/>
      <c r="E1117" s="267"/>
      <c r="F1117" s="267">
        <f>B1117</f>
        <v>15</v>
      </c>
      <c r="G1117" s="352"/>
      <c r="H1117" s="353"/>
      <c r="I1117" s="354"/>
    </row>
    <row r="1118" spans="2:9" ht="13.5" thickBot="1" x14ac:dyDescent="0.25"/>
    <row r="1119" spans="2:9" ht="13.5" thickBot="1" x14ac:dyDescent="0.25">
      <c r="B1119" s="345" t="s">
        <v>0</v>
      </c>
      <c r="C1119" s="345" t="s">
        <v>9</v>
      </c>
      <c r="D1119" s="345" t="s">
        <v>1</v>
      </c>
      <c r="E1119" s="345" t="s">
        <v>189</v>
      </c>
      <c r="F1119" s="345" t="s">
        <v>8</v>
      </c>
      <c r="G1119" s="143"/>
      <c r="H1119" s="143"/>
      <c r="I1119" s="143"/>
    </row>
    <row r="1120" spans="2:9" ht="13.5" thickBot="1" x14ac:dyDescent="0.25">
      <c r="B1120" s="345"/>
      <c r="C1120" s="345"/>
      <c r="D1120" s="345"/>
      <c r="E1120" s="345"/>
      <c r="F1120" s="345"/>
      <c r="G1120" s="143"/>
      <c r="H1120" s="143"/>
      <c r="I1120" s="143"/>
    </row>
    <row r="1121" spans="2:13" ht="24.75" thickBot="1" x14ac:dyDescent="0.25">
      <c r="B1121" s="140" t="s">
        <v>122</v>
      </c>
      <c r="C1121" s="252">
        <v>93654</v>
      </c>
      <c r="D1121" s="135" t="s">
        <v>573</v>
      </c>
      <c r="E1121" s="133" t="s">
        <v>11</v>
      </c>
      <c r="F1121" s="134">
        <f>SUM(F1123)</f>
        <v>6</v>
      </c>
      <c r="G1121" s="143"/>
      <c r="H1121" s="143"/>
      <c r="I1121" s="143"/>
      <c r="K1121" s="143"/>
      <c r="L1121" s="180"/>
      <c r="M1121" s="180"/>
    </row>
    <row r="1122" spans="2:13" ht="13.5" customHeight="1" thickBot="1" x14ac:dyDescent="0.25">
      <c r="B1122" s="148" t="s">
        <v>234</v>
      </c>
      <c r="C1122" s="148"/>
      <c r="D1122" s="148"/>
      <c r="E1122" s="148"/>
      <c r="F1122" s="148" t="s">
        <v>376</v>
      </c>
      <c r="G1122" s="349" t="s">
        <v>235</v>
      </c>
      <c r="H1122" s="351"/>
      <c r="I1122" s="350"/>
      <c r="L1122" s="180"/>
      <c r="M1122" s="180"/>
    </row>
    <row r="1123" spans="2:13" ht="13.5" customHeight="1" thickBot="1" x14ac:dyDescent="0.25">
      <c r="B1123" s="158">
        <v>6</v>
      </c>
      <c r="C1123" s="144"/>
      <c r="D1123" s="144"/>
      <c r="E1123" s="144"/>
      <c r="F1123" s="144">
        <f>B1123</f>
        <v>6</v>
      </c>
      <c r="G1123" s="352"/>
      <c r="H1123" s="353"/>
      <c r="I1123" s="354"/>
      <c r="L1123" s="180"/>
      <c r="M1123" s="180"/>
    </row>
    <row r="1124" spans="2:13" ht="13.5" thickBot="1" x14ac:dyDescent="0.25">
      <c r="L1124" s="180"/>
      <c r="M1124" s="180"/>
    </row>
    <row r="1125" spans="2:13" ht="15.75" customHeight="1" thickBot="1" x14ac:dyDescent="0.25">
      <c r="B1125" s="345" t="s">
        <v>0</v>
      </c>
      <c r="C1125" s="345" t="s">
        <v>9</v>
      </c>
      <c r="D1125" s="345" t="s">
        <v>1</v>
      </c>
      <c r="E1125" s="345" t="s">
        <v>189</v>
      </c>
      <c r="F1125" s="345" t="s">
        <v>8</v>
      </c>
      <c r="G1125" s="143"/>
      <c r="H1125" s="143"/>
      <c r="I1125" s="143"/>
      <c r="L1125" s="180"/>
      <c r="M1125" s="180"/>
    </row>
    <row r="1126" spans="2:13" ht="15.75" customHeight="1" thickBot="1" x14ac:dyDescent="0.25">
      <c r="B1126" s="345"/>
      <c r="C1126" s="345"/>
      <c r="D1126" s="345"/>
      <c r="E1126" s="345"/>
      <c r="F1126" s="345"/>
      <c r="G1126" s="143"/>
      <c r="H1126" s="143"/>
      <c r="I1126" s="143"/>
      <c r="L1126" s="180"/>
      <c r="M1126" s="180"/>
    </row>
    <row r="1127" spans="2:13" ht="24.75" thickBot="1" x14ac:dyDescent="0.25">
      <c r="B1127" s="140" t="s">
        <v>123</v>
      </c>
      <c r="C1127" s="252">
        <v>93655</v>
      </c>
      <c r="D1127" s="135" t="s">
        <v>574</v>
      </c>
      <c r="E1127" s="133" t="s">
        <v>11</v>
      </c>
      <c r="F1127" s="134">
        <f>SUM(F1129)</f>
        <v>3</v>
      </c>
      <c r="G1127" s="143"/>
      <c r="H1127" s="143"/>
      <c r="I1127" s="143"/>
      <c r="L1127" s="180"/>
      <c r="M1127" s="180"/>
    </row>
    <row r="1128" spans="2:13" ht="15.75" customHeight="1" thickBot="1" x14ac:dyDescent="0.25">
      <c r="B1128" s="148" t="s">
        <v>234</v>
      </c>
      <c r="C1128" s="148"/>
      <c r="D1128" s="148"/>
      <c r="E1128" s="148"/>
      <c r="F1128" s="148" t="s">
        <v>376</v>
      </c>
      <c r="G1128" s="349" t="s">
        <v>235</v>
      </c>
      <c r="H1128" s="351"/>
      <c r="I1128" s="350"/>
      <c r="L1128" s="180"/>
      <c r="M1128" s="180"/>
    </row>
    <row r="1129" spans="2:13" ht="15.75" customHeight="1" thickBot="1" x14ac:dyDescent="0.25">
      <c r="B1129" s="158">
        <v>3</v>
      </c>
      <c r="C1129" s="144"/>
      <c r="D1129" s="144"/>
      <c r="E1129" s="144"/>
      <c r="F1129" s="144">
        <f>B1129</f>
        <v>3</v>
      </c>
      <c r="G1129" s="352"/>
      <c r="H1129" s="353"/>
      <c r="I1129" s="354"/>
      <c r="K1129" s="143"/>
      <c r="L1129" s="180"/>
      <c r="M1129" s="180"/>
    </row>
    <row r="1130" spans="2:13" ht="13.5" thickBot="1" x14ac:dyDescent="0.25">
      <c r="L1130" s="180"/>
      <c r="M1130" s="180"/>
    </row>
    <row r="1131" spans="2:13" ht="13.5" thickBot="1" x14ac:dyDescent="0.25">
      <c r="B1131" s="345" t="s">
        <v>0</v>
      </c>
      <c r="C1131" s="359" t="s">
        <v>9</v>
      </c>
      <c r="D1131" s="345" t="s">
        <v>1</v>
      </c>
      <c r="E1131" s="345" t="s">
        <v>189</v>
      </c>
      <c r="F1131" s="345" t="s">
        <v>8</v>
      </c>
      <c r="G1131" s="143"/>
      <c r="H1131" s="143"/>
      <c r="I1131" s="143"/>
      <c r="L1131" s="180"/>
      <c r="M1131" s="180"/>
    </row>
    <row r="1132" spans="2:13" ht="13.5" thickBot="1" x14ac:dyDescent="0.25">
      <c r="B1132" s="345"/>
      <c r="C1132" s="360"/>
      <c r="D1132" s="345"/>
      <c r="E1132" s="345"/>
      <c r="F1132" s="345"/>
      <c r="G1132" s="143"/>
      <c r="H1132" s="143"/>
      <c r="I1132" s="143"/>
      <c r="L1132" s="180"/>
      <c r="M1132" s="180"/>
    </row>
    <row r="1133" spans="2:13" ht="24.75" thickBot="1" x14ac:dyDescent="0.25">
      <c r="B1133" s="140" t="s">
        <v>124</v>
      </c>
      <c r="C1133" s="252">
        <v>93673</v>
      </c>
      <c r="D1133" s="135" t="s">
        <v>575</v>
      </c>
      <c r="E1133" s="133" t="s">
        <v>11</v>
      </c>
      <c r="F1133" s="134">
        <f>SUM(F1135)</f>
        <v>1</v>
      </c>
      <c r="G1133" s="143"/>
      <c r="H1133" s="143"/>
      <c r="I1133" s="143"/>
      <c r="L1133" s="180"/>
      <c r="M1133" s="180"/>
    </row>
    <row r="1134" spans="2:13" ht="13.5" customHeight="1" thickBot="1" x14ac:dyDescent="0.25">
      <c r="B1134" s="148" t="s">
        <v>234</v>
      </c>
      <c r="C1134" s="148"/>
      <c r="D1134" s="148"/>
      <c r="E1134" s="148"/>
      <c r="F1134" s="148" t="s">
        <v>376</v>
      </c>
      <c r="G1134" s="349" t="s">
        <v>235</v>
      </c>
      <c r="H1134" s="351"/>
      <c r="I1134" s="350"/>
    </row>
    <row r="1135" spans="2:13" ht="13.5" thickBot="1" x14ac:dyDescent="0.25">
      <c r="B1135" s="158">
        <v>1</v>
      </c>
      <c r="C1135" s="144"/>
      <c r="D1135" s="144"/>
      <c r="E1135" s="144"/>
      <c r="F1135" s="144">
        <f>B1135</f>
        <v>1</v>
      </c>
      <c r="G1135" s="352"/>
      <c r="H1135" s="353"/>
      <c r="I1135" s="354"/>
      <c r="K1135" s="143"/>
    </row>
    <row r="1136" spans="2:13" ht="15.75" customHeight="1" thickBot="1" x14ac:dyDescent="0.25"/>
    <row r="1137" spans="2:9" ht="15.75" customHeight="1" thickBot="1" x14ac:dyDescent="0.25">
      <c r="B1137" s="345" t="s">
        <v>0</v>
      </c>
      <c r="C1137" s="359" t="s">
        <v>9</v>
      </c>
      <c r="D1137" s="345" t="s">
        <v>1</v>
      </c>
      <c r="E1137" s="345" t="s">
        <v>189</v>
      </c>
      <c r="F1137" s="345" t="s">
        <v>8</v>
      </c>
      <c r="G1137" s="143"/>
      <c r="H1137" s="143"/>
      <c r="I1137" s="143"/>
    </row>
    <row r="1138" spans="2:9" ht="15.75" customHeight="1" thickBot="1" x14ac:dyDescent="0.25">
      <c r="B1138" s="345"/>
      <c r="C1138" s="360"/>
      <c r="D1138" s="345"/>
      <c r="E1138" s="345"/>
      <c r="F1138" s="345"/>
      <c r="G1138" s="143"/>
      <c r="H1138" s="143"/>
      <c r="I1138" s="143"/>
    </row>
    <row r="1139" spans="2:9" ht="24.75" thickBot="1" x14ac:dyDescent="0.25">
      <c r="B1139" s="140" t="s">
        <v>125</v>
      </c>
      <c r="C1139" s="268">
        <v>93671</v>
      </c>
      <c r="D1139" s="135" t="s">
        <v>672</v>
      </c>
      <c r="E1139" s="133" t="s">
        <v>11</v>
      </c>
      <c r="F1139" s="134">
        <f>SUM(F1141)</f>
        <v>1</v>
      </c>
      <c r="G1139" s="143"/>
      <c r="H1139" s="143"/>
      <c r="I1139" s="143"/>
    </row>
    <row r="1140" spans="2:9" ht="15.75" customHeight="1" thickBot="1" x14ac:dyDescent="0.25">
      <c r="B1140" s="268" t="s">
        <v>234</v>
      </c>
      <c r="C1140" s="268"/>
      <c r="D1140" s="268"/>
      <c r="E1140" s="268"/>
      <c r="F1140" s="268" t="s">
        <v>376</v>
      </c>
      <c r="G1140" s="349" t="s">
        <v>235</v>
      </c>
      <c r="H1140" s="351"/>
      <c r="I1140" s="350"/>
    </row>
    <row r="1141" spans="2:9" ht="15.75" customHeight="1" thickBot="1" x14ac:dyDescent="0.25">
      <c r="B1141" s="158">
        <v>1</v>
      </c>
      <c r="C1141" s="267"/>
      <c r="D1141" s="267"/>
      <c r="E1141" s="267"/>
      <c r="F1141" s="267">
        <f>B1141</f>
        <v>1</v>
      </c>
      <c r="G1141" s="352"/>
      <c r="H1141" s="353"/>
      <c r="I1141" s="354"/>
    </row>
    <row r="1142" spans="2:9" ht="15.75" customHeight="1" thickBot="1" x14ac:dyDescent="0.25"/>
    <row r="1143" spans="2:9" ht="15.75" customHeight="1" thickBot="1" x14ac:dyDescent="0.25">
      <c r="B1143" s="345" t="s">
        <v>0</v>
      </c>
      <c r="C1143" s="359" t="s">
        <v>9</v>
      </c>
      <c r="D1143" s="345" t="s">
        <v>1</v>
      </c>
      <c r="E1143" s="345" t="s">
        <v>189</v>
      </c>
      <c r="F1143" s="345" t="s">
        <v>8</v>
      </c>
      <c r="G1143" s="143"/>
      <c r="H1143" s="143"/>
      <c r="I1143" s="143"/>
    </row>
    <row r="1144" spans="2:9" ht="15.75" customHeight="1" thickBot="1" x14ac:dyDescent="0.25">
      <c r="B1144" s="345"/>
      <c r="C1144" s="360"/>
      <c r="D1144" s="345"/>
      <c r="E1144" s="345"/>
      <c r="F1144" s="345"/>
      <c r="G1144" s="143"/>
      <c r="H1144" s="143"/>
      <c r="I1144" s="143"/>
    </row>
    <row r="1145" spans="2:9" ht="24.75" thickBot="1" x14ac:dyDescent="0.25">
      <c r="B1145" s="140" t="s">
        <v>126</v>
      </c>
      <c r="C1145" s="268">
        <v>93672</v>
      </c>
      <c r="D1145" s="135" t="s">
        <v>673</v>
      </c>
      <c r="E1145" s="133" t="s">
        <v>11</v>
      </c>
      <c r="F1145" s="134">
        <f>SUM(F1147)</f>
        <v>1</v>
      </c>
      <c r="G1145" s="143"/>
      <c r="H1145" s="143"/>
      <c r="I1145" s="143"/>
    </row>
    <row r="1146" spans="2:9" ht="15.75" customHeight="1" thickBot="1" x14ac:dyDescent="0.25">
      <c r="B1146" s="268" t="s">
        <v>234</v>
      </c>
      <c r="C1146" s="268"/>
      <c r="D1146" s="268"/>
      <c r="E1146" s="268"/>
      <c r="F1146" s="268" t="s">
        <v>376</v>
      </c>
      <c r="G1146" s="349" t="s">
        <v>235</v>
      </c>
      <c r="H1146" s="351"/>
      <c r="I1146" s="350"/>
    </row>
    <row r="1147" spans="2:9" ht="15.75" customHeight="1" thickBot="1" x14ac:dyDescent="0.25">
      <c r="B1147" s="158">
        <v>1</v>
      </c>
      <c r="C1147" s="267"/>
      <c r="D1147" s="267"/>
      <c r="E1147" s="267"/>
      <c r="F1147" s="267">
        <f>B1147</f>
        <v>1</v>
      </c>
      <c r="G1147" s="352"/>
      <c r="H1147" s="353"/>
      <c r="I1147" s="354"/>
    </row>
    <row r="1148" spans="2:9" ht="15.75" customHeight="1" thickBot="1" x14ac:dyDescent="0.25"/>
    <row r="1149" spans="2:9" ht="15.75" customHeight="1" thickBot="1" x14ac:dyDescent="0.25">
      <c r="B1149" s="345" t="s">
        <v>0</v>
      </c>
      <c r="C1149" s="345" t="s">
        <v>9</v>
      </c>
      <c r="D1149" s="345" t="s">
        <v>1</v>
      </c>
      <c r="E1149" s="345" t="s">
        <v>189</v>
      </c>
      <c r="F1149" s="345" t="s">
        <v>8</v>
      </c>
      <c r="G1149" s="143"/>
      <c r="H1149" s="143"/>
      <c r="I1149" s="143"/>
    </row>
    <row r="1150" spans="2:9" ht="15.75" customHeight="1" thickBot="1" x14ac:dyDescent="0.25">
      <c r="B1150" s="345"/>
      <c r="C1150" s="345"/>
      <c r="D1150" s="345"/>
      <c r="E1150" s="345"/>
      <c r="F1150" s="345"/>
      <c r="G1150" s="143"/>
      <c r="H1150" s="143"/>
      <c r="I1150" s="143"/>
    </row>
    <row r="1151" spans="2:9" ht="36.75" thickBot="1" x14ac:dyDescent="0.25">
      <c r="B1151" s="140" t="s">
        <v>124</v>
      </c>
      <c r="C1151" s="252" t="s">
        <v>563</v>
      </c>
      <c r="D1151" s="135" t="s">
        <v>576</v>
      </c>
      <c r="E1151" s="133" t="s">
        <v>447</v>
      </c>
      <c r="F1151" s="134">
        <f>SUM(F1153:F1153)</f>
        <v>12</v>
      </c>
      <c r="G1151" s="143"/>
      <c r="H1151" s="143"/>
      <c r="I1151" s="143"/>
    </row>
    <row r="1152" spans="2:9" ht="13.5" customHeight="1" thickBot="1" x14ac:dyDescent="0.25">
      <c r="B1152" s="148" t="s">
        <v>234</v>
      </c>
      <c r="C1152" s="148"/>
      <c r="D1152" s="148" t="s">
        <v>255</v>
      </c>
      <c r="E1152" s="148"/>
      <c r="F1152" s="148" t="s">
        <v>376</v>
      </c>
      <c r="G1152" s="349" t="s">
        <v>235</v>
      </c>
      <c r="H1152" s="351"/>
      <c r="I1152" s="350"/>
    </row>
    <row r="1153" spans="2:11" ht="15.75" customHeight="1" thickBot="1" x14ac:dyDescent="0.25">
      <c r="B1153" s="144">
        <v>12</v>
      </c>
      <c r="C1153" s="144"/>
      <c r="D1153" s="144">
        <v>0</v>
      </c>
      <c r="E1153" s="144"/>
      <c r="F1153" s="144">
        <f>B1153</f>
        <v>12</v>
      </c>
      <c r="G1153" s="352"/>
      <c r="H1153" s="353"/>
      <c r="I1153" s="354"/>
      <c r="K1153" s="143"/>
    </row>
    <row r="1154" spans="2:11" ht="15.75" customHeight="1" thickBot="1" x14ac:dyDescent="0.25">
      <c r="B1154" s="171"/>
      <c r="C1154" s="172"/>
      <c r="D1154" s="172"/>
      <c r="E1154" s="172"/>
      <c r="F1154" s="172"/>
      <c r="G1154" s="172"/>
      <c r="H1154" s="172"/>
      <c r="I1154" s="172"/>
    </row>
    <row r="1155" spans="2:11" ht="13.5" thickBot="1" x14ac:dyDescent="0.25">
      <c r="B1155" s="345" t="s">
        <v>0</v>
      </c>
      <c r="C1155" s="345" t="s">
        <v>9</v>
      </c>
      <c r="D1155" s="345" t="s">
        <v>1</v>
      </c>
      <c r="E1155" s="345" t="s">
        <v>189</v>
      </c>
      <c r="F1155" s="345" t="s">
        <v>8</v>
      </c>
      <c r="G1155" s="143"/>
      <c r="H1155" s="143"/>
      <c r="I1155" s="143"/>
    </row>
    <row r="1156" spans="2:11" ht="13.5" thickBot="1" x14ac:dyDescent="0.25">
      <c r="B1156" s="345"/>
      <c r="C1156" s="345"/>
      <c r="D1156" s="345"/>
      <c r="E1156" s="345"/>
      <c r="F1156" s="345"/>
      <c r="G1156" s="143"/>
      <c r="H1156" s="143"/>
      <c r="I1156" s="143"/>
    </row>
    <row r="1157" spans="2:11" ht="48.75" thickBot="1" x14ac:dyDescent="0.25">
      <c r="B1157" s="140" t="s">
        <v>125</v>
      </c>
      <c r="C1157" s="252" t="s">
        <v>564</v>
      </c>
      <c r="D1157" s="135" t="s">
        <v>577</v>
      </c>
      <c r="E1157" s="133" t="s">
        <v>447</v>
      </c>
      <c r="F1157" s="134">
        <f>SUM(F1159)</f>
        <v>2</v>
      </c>
      <c r="G1157" s="143"/>
      <c r="H1157" s="143"/>
      <c r="I1157" s="143"/>
    </row>
    <row r="1158" spans="2:11" ht="13.5" customHeight="1" thickBot="1" x14ac:dyDescent="0.25">
      <c r="B1158" s="148" t="s">
        <v>234</v>
      </c>
      <c r="C1158" s="148"/>
      <c r="D1158" s="157" t="s">
        <v>255</v>
      </c>
      <c r="E1158" s="148"/>
      <c r="F1158" s="148" t="s">
        <v>376</v>
      </c>
      <c r="G1158" s="349" t="s">
        <v>235</v>
      </c>
      <c r="H1158" s="351"/>
      <c r="I1158" s="350"/>
    </row>
    <row r="1159" spans="2:11" ht="13.5" thickBot="1" x14ac:dyDescent="0.25">
      <c r="B1159" s="158">
        <v>2</v>
      </c>
      <c r="C1159" s="144"/>
      <c r="D1159" s="144"/>
      <c r="E1159" s="144"/>
      <c r="F1159" s="144">
        <f>B1159</f>
        <v>2</v>
      </c>
      <c r="G1159" s="352"/>
      <c r="H1159" s="353"/>
      <c r="I1159" s="354"/>
      <c r="K1159" s="143"/>
    </row>
    <row r="1160" spans="2:11" ht="13.5" thickBot="1" x14ac:dyDescent="0.25">
      <c r="B1160" s="171"/>
      <c r="C1160" s="172"/>
      <c r="D1160" s="172"/>
      <c r="E1160" s="172"/>
      <c r="F1160" s="172"/>
      <c r="G1160" s="172"/>
      <c r="H1160" s="172"/>
      <c r="I1160" s="172"/>
    </row>
    <row r="1161" spans="2:11" ht="13.5" thickBot="1" x14ac:dyDescent="0.25">
      <c r="B1161" s="345" t="s">
        <v>0</v>
      </c>
      <c r="C1161" s="359" t="s">
        <v>9</v>
      </c>
      <c r="D1161" s="345" t="s">
        <v>1</v>
      </c>
      <c r="E1161" s="345" t="s">
        <v>189</v>
      </c>
      <c r="F1161" s="345" t="s">
        <v>8</v>
      </c>
      <c r="G1161" s="143"/>
      <c r="H1161" s="143"/>
      <c r="I1161" s="143"/>
    </row>
    <row r="1162" spans="2:11" ht="13.5" thickBot="1" x14ac:dyDescent="0.25">
      <c r="B1162" s="345"/>
      <c r="C1162" s="360"/>
      <c r="D1162" s="345"/>
      <c r="E1162" s="345"/>
      <c r="F1162" s="345"/>
      <c r="G1162" s="143"/>
      <c r="H1162" s="143"/>
      <c r="I1162" s="143"/>
    </row>
    <row r="1163" spans="2:11" ht="48.75" thickBot="1" x14ac:dyDescent="0.25">
      <c r="B1163" s="140" t="s">
        <v>126</v>
      </c>
      <c r="C1163" s="252" t="s">
        <v>565</v>
      </c>
      <c r="D1163" s="135" t="s">
        <v>578</v>
      </c>
      <c r="E1163" s="133" t="s">
        <v>447</v>
      </c>
      <c r="F1163" s="134">
        <f>SUM(F1165)</f>
        <v>4</v>
      </c>
      <c r="G1163" s="143"/>
      <c r="H1163" s="143"/>
      <c r="I1163" s="143"/>
    </row>
    <row r="1164" spans="2:11" ht="13.5" customHeight="1" thickBot="1" x14ac:dyDescent="0.25">
      <c r="B1164" s="148" t="s">
        <v>234</v>
      </c>
      <c r="C1164" s="148"/>
      <c r="D1164" s="148"/>
      <c r="E1164" s="148"/>
      <c r="F1164" s="148" t="s">
        <v>376</v>
      </c>
      <c r="G1164" s="349" t="s">
        <v>235</v>
      </c>
      <c r="H1164" s="351"/>
      <c r="I1164" s="350"/>
    </row>
    <row r="1165" spans="2:11" ht="13.5" thickBot="1" x14ac:dyDescent="0.25">
      <c r="B1165" s="158">
        <v>4</v>
      </c>
      <c r="C1165" s="144"/>
      <c r="D1165" s="144"/>
      <c r="E1165" s="144"/>
      <c r="F1165" s="144">
        <f>B1165</f>
        <v>4</v>
      </c>
      <c r="G1165" s="352"/>
      <c r="H1165" s="353"/>
      <c r="I1165" s="354"/>
      <c r="K1165" s="143"/>
    </row>
    <row r="1166" spans="2:11" ht="13.5" thickBot="1" x14ac:dyDescent="0.25">
      <c r="B1166" s="171"/>
      <c r="C1166" s="172"/>
      <c r="D1166" s="172"/>
      <c r="E1166" s="172"/>
      <c r="F1166" s="172"/>
      <c r="G1166" s="172"/>
      <c r="H1166" s="172"/>
      <c r="I1166" s="172"/>
    </row>
    <row r="1167" spans="2:11" ht="13.5" thickBot="1" x14ac:dyDescent="0.25">
      <c r="B1167" s="345" t="s">
        <v>0</v>
      </c>
      <c r="C1167" s="345" t="s">
        <v>9</v>
      </c>
      <c r="D1167" s="345" t="s">
        <v>1</v>
      </c>
      <c r="E1167" s="345" t="s">
        <v>189</v>
      </c>
      <c r="F1167" s="345" t="s">
        <v>8</v>
      </c>
      <c r="G1167" s="143"/>
      <c r="H1167" s="143"/>
      <c r="I1167" s="143"/>
    </row>
    <row r="1168" spans="2:11" ht="13.5" thickBot="1" x14ac:dyDescent="0.25">
      <c r="B1168" s="345"/>
      <c r="C1168" s="345"/>
      <c r="D1168" s="345"/>
      <c r="E1168" s="345"/>
      <c r="F1168" s="345"/>
      <c r="G1168" s="143"/>
      <c r="H1168" s="143"/>
      <c r="I1168" s="143"/>
    </row>
    <row r="1169" spans="2:13" ht="36.75" thickBot="1" x14ac:dyDescent="0.25">
      <c r="B1169" s="140" t="s">
        <v>127</v>
      </c>
      <c r="C1169" s="252" t="s">
        <v>566</v>
      </c>
      <c r="D1169" s="135" t="s">
        <v>579</v>
      </c>
      <c r="E1169" s="133" t="s">
        <v>447</v>
      </c>
      <c r="F1169" s="134">
        <f>SUM(F1171)</f>
        <v>11</v>
      </c>
      <c r="G1169" s="143"/>
      <c r="H1169" s="143"/>
      <c r="I1169" s="143"/>
    </row>
    <row r="1170" spans="2:13" ht="13.5" customHeight="1" thickBot="1" x14ac:dyDescent="0.25">
      <c r="B1170" s="148" t="s">
        <v>234</v>
      </c>
      <c r="C1170" s="148"/>
      <c r="D1170" s="148"/>
      <c r="E1170" s="148"/>
      <c r="F1170" s="148" t="s">
        <v>376</v>
      </c>
      <c r="G1170" s="349" t="s">
        <v>235</v>
      </c>
      <c r="H1170" s="351"/>
      <c r="I1170" s="350"/>
    </row>
    <row r="1171" spans="2:13" ht="13.5" customHeight="1" thickBot="1" x14ac:dyDescent="0.25">
      <c r="B1171" s="158">
        <v>11</v>
      </c>
      <c r="C1171" s="144"/>
      <c r="D1171" s="144"/>
      <c r="E1171" s="144"/>
      <c r="F1171" s="144">
        <f>B1171</f>
        <v>11</v>
      </c>
      <c r="G1171" s="352"/>
      <c r="H1171" s="353"/>
      <c r="I1171" s="354"/>
      <c r="K1171" s="143"/>
    </row>
    <row r="1172" spans="2:13" ht="13.5" thickBot="1" x14ac:dyDescent="0.25"/>
    <row r="1173" spans="2:13" ht="13.5" thickBot="1" x14ac:dyDescent="0.25">
      <c r="B1173" s="345" t="s">
        <v>0</v>
      </c>
      <c r="C1173" s="345" t="s">
        <v>9</v>
      </c>
      <c r="D1173" s="345" t="s">
        <v>1</v>
      </c>
      <c r="E1173" s="345" t="s">
        <v>189</v>
      </c>
      <c r="F1173" s="345" t="s">
        <v>8</v>
      </c>
      <c r="G1173" s="143"/>
      <c r="H1173" s="143"/>
      <c r="I1173" s="143"/>
    </row>
    <row r="1174" spans="2:13" ht="13.5" thickBot="1" x14ac:dyDescent="0.25">
      <c r="B1174" s="345"/>
      <c r="C1174" s="345"/>
      <c r="D1174" s="345"/>
      <c r="E1174" s="345"/>
      <c r="F1174" s="345"/>
      <c r="G1174" s="143"/>
      <c r="H1174" s="143"/>
      <c r="I1174" s="143"/>
    </row>
    <row r="1175" spans="2:13" ht="48.75" thickBot="1" x14ac:dyDescent="0.25">
      <c r="B1175" s="140" t="s">
        <v>128</v>
      </c>
      <c r="C1175" s="252" t="s">
        <v>567</v>
      </c>
      <c r="D1175" s="135" t="s">
        <v>580</v>
      </c>
      <c r="E1175" s="133" t="s">
        <v>447</v>
      </c>
      <c r="F1175" s="134">
        <f>SUM(F1177)</f>
        <v>3</v>
      </c>
      <c r="G1175" s="143"/>
      <c r="H1175" s="143"/>
      <c r="I1175" s="143"/>
    </row>
    <row r="1176" spans="2:13" ht="13.5" customHeight="1" thickBot="1" x14ac:dyDescent="0.25">
      <c r="B1176" s="148" t="s">
        <v>234</v>
      </c>
      <c r="C1176" s="148"/>
      <c r="D1176" s="148"/>
      <c r="E1176" s="148"/>
      <c r="F1176" s="148" t="s">
        <v>376</v>
      </c>
      <c r="G1176" s="349" t="s">
        <v>235</v>
      </c>
      <c r="H1176" s="351"/>
      <c r="I1176" s="350"/>
    </row>
    <row r="1177" spans="2:13" ht="13.5" thickBot="1" x14ac:dyDescent="0.25">
      <c r="B1177" s="170">
        <v>3</v>
      </c>
      <c r="C1177" s="159"/>
      <c r="D1177" s="159"/>
      <c r="E1177" s="159"/>
      <c r="F1177" s="159">
        <f>B1177</f>
        <v>3</v>
      </c>
      <c r="G1177" s="385"/>
      <c r="H1177" s="386"/>
      <c r="I1177" s="387"/>
      <c r="K1177" s="143"/>
    </row>
    <row r="1178" spans="2:13" ht="13.5" thickBot="1" x14ac:dyDescent="0.25"/>
    <row r="1179" spans="2:13" ht="13.5" thickBot="1" x14ac:dyDescent="0.25">
      <c r="B1179" s="345" t="s">
        <v>0</v>
      </c>
      <c r="C1179" s="345" t="s">
        <v>9</v>
      </c>
      <c r="D1179" s="345" t="s">
        <v>1</v>
      </c>
      <c r="E1179" s="345" t="s">
        <v>189</v>
      </c>
      <c r="F1179" s="345" t="s">
        <v>8</v>
      </c>
      <c r="G1179" s="143"/>
      <c r="H1179" s="143"/>
      <c r="I1179" s="143"/>
    </row>
    <row r="1180" spans="2:13" ht="13.5" thickBot="1" x14ac:dyDescent="0.25">
      <c r="B1180" s="345"/>
      <c r="C1180" s="345"/>
      <c r="D1180" s="345"/>
      <c r="E1180" s="345"/>
      <c r="F1180" s="345"/>
      <c r="G1180" s="143"/>
      <c r="H1180" s="143"/>
      <c r="I1180" s="143"/>
    </row>
    <row r="1181" spans="2:13" ht="72.75" thickBot="1" x14ac:dyDescent="0.25">
      <c r="B1181" s="140" t="s">
        <v>129</v>
      </c>
      <c r="C1181" s="252" t="s">
        <v>568</v>
      </c>
      <c r="D1181" s="135" t="s">
        <v>581</v>
      </c>
      <c r="E1181" s="133" t="s">
        <v>447</v>
      </c>
      <c r="F1181" s="134">
        <f>SUM(F1183)</f>
        <v>1</v>
      </c>
      <c r="G1181" s="143"/>
      <c r="H1181" s="143"/>
      <c r="I1181" s="143"/>
      <c r="M1181" s="180"/>
    </row>
    <row r="1182" spans="2:13" ht="13.5" customHeight="1" thickBot="1" x14ac:dyDescent="0.25">
      <c r="B1182" s="148" t="s">
        <v>234</v>
      </c>
      <c r="C1182" s="148"/>
      <c r="D1182" s="148"/>
      <c r="E1182" s="148"/>
      <c r="F1182" s="148" t="s">
        <v>376</v>
      </c>
      <c r="G1182" s="349" t="s">
        <v>235</v>
      </c>
      <c r="H1182" s="351"/>
      <c r="I1182" s="350"/>
      <c r="M1182" s="180"/>
    </row>
    <row r="1183" spans="2:13" ht="13.5" thickBot="1" x14ac:dyDescent="0.25">
      <c r="B1183" s="158">
        <v>1</v>
      </c>
      <c r="C1183" s="144"/>
      <c r="D1183" s="144"/>
      <c r="E1183" s="144"/>
      <c r="F1183" s="144">
        <f>B1183</f>
        <v>1</v>
      </c>
      <c r="G1183" s="352"/>
      <c r="H1183" s="353"/>
      <c r="I1183" s="354"/>
      <c r="K1183" s="143"/>
      <c r="M1183" s="180"/>
    </row>
    <row r="1184" spans="2:13" ht="15.75" customHeight="1" thickBot="1" x14ac:dyDescent="0.25">
      <c r="M1184" s="180"/>
    </row>
    <row r="1185" spans="2:13" ht="13.5" thickBot="1" x14ac:dyDescent="0.25">
      <c r="B1185" s="345" t="s">
        <v>0</v>
      </c>
      <c r="C1185" s="345" t="s">
        <v>9</v>
      </c>
      <c r="D1185" s="345" t="s">
        <v>1</v>
      </c>
      <c r="E1185" s="345" t="s">
        <v>189</v>
      </c>
      <c r="F1185" s="345" t="s">
        <v>8</v>
      </c>
      <c r="G1185" s="143"/>
      <c r="H1185" s="143"/>
      <c r="I1185" s="143"/>
      <c r="M1185" s="180"/>
    </row>
    <row r="1186" spans="2:13" ht="15.75" customHeight="1" thickBot="1" x14ac:dyDescent="0.25">
      <c r="B1186" s="345"/>
      <c r="C1186" s="345"/>
      <c r="D1186" s="345"/>
      <c r="E1186" s="345"/>
      <c r="F1186" s="345"/>
      <c r="G1186" s="143"/>
      <c r="H1186" s="143"/>
      <c r="I1186" s="143"/>
      <c r="M1186" s="180"/>
    </row>
    <row r="1187" spans="2:13" ht="36.75" thickBot="1" x14ac:dyDescent="0.25">
      <c r="B1187" s="140" t="s">
        <v>130</v>
      </c>
      <c r="C1187" s="252" t="s">
        <v>569</v>
      </c>
      <c r="D1187" s="135" t="s">
        <v>167</v>
      </c>
      <c r="E1187" s="133" t="s">
        <v>447</v>
      </c>
      <c r="F1187" s="134">
        <f>SUM(F1189)</f>
        <v>2</v>
      </c>
      <c r="G1187" s="143"/>
      <c r="H1187" s="143"/>
      <c r="I1187" s="143"/>
      <c r="M1187" s="180"/>
    </row>
    <row r="1188" spans="2:13" ht="13.5" customHeight="1" thickBot="1" x14ac:dyDescent="0.25">
      <c r="B1188" s="148" t="s">
        <v>234</v>
      </c>
      <c r="C1188" s="148"/>
      <c r="D1188" s="148"/>
      <c r="E1188" s="148"/>
      <c r="F1188" s="148" t="s">
        <v>376</v>
      </c>
      <c r="G1188" s="349" t="s">
        <v>235</v>
      </c>
      <c r="H1188" s="351"/>
      <c r="I1188" s="350"/>
      <c r="M1188" s="180"/>
    </row>
    <row r="1189" spans="2:13" ht="13.5" thickBot="1" x14ac:dyDescent="0.25">
      <c r="B1189" s="158">
        <v>2</v>
      </c>
      <c r="C1189" s="144"/>
      <c r="D1189" s="144"/>
      <c r="E1189" s="144"/>
      <c r="F1189" s="144">
        <f>B1189</f>
        <v>2</v>
      </c>
      <c r="G1189" s="352"/>
      <c r="H1189" s="353"/>
      <c r="I1189" s="354"/>
      <c r="K1189" s="143"/>
      <c r="M1189" s="180"/>
    </row>
    <row r="1190" spans="2:13" ht="13.5" thickBot="1" x14ac:dyDescent="0.25">
      <c r="M1190" s="180"/>
    </row>
    <row r="1191" spans="2:13" ht="13.5" thickBot="1" x14ac:dyDescent="0.25">
      <c r="B1191" s="345" t="s">
        <v>0</v>
      </c>
      <c r="C1191" s="345" t="s">
        <v>9</v>
      </c>
      <c r="D1191" s="345" t="s">
        <v>1</v>
      </c>
      <c r="E1191" s="345" t="s">
        <v>189</v>
      </c>
      <c r="F1191" s="345" t="s">
        <v>8</v>
      </c>
      <c r="G1191" s="143"/>
      <c r="H1191" s="143"/>
      <c r="I1191" s="143"/>
    </row>
    <row r="1192" spans="2:13" ht="13.5" thickBot="1" x14ac:dyDescent="0.25">
      <c r="B1192" s="345"/>
      <c r="C1192" s="345"/>
      <c r="D1192" s="345"/>
      <c r="E1192" s="345"/>
      <c r="F1192" s="345"/>
      <c r="G1192" s="143"/>
      <c r="H1192" s="143"/>
      <c r="I1192" s="143"/>
    </row>
    <row r="1193" spans="2:13" ht="48.75" thickBot="1" x14ac:dyDescent="0.25">
      <c r="B1193" s="140" t="s">
        <v>131</v>
      </c>
      <c r="C1193" s="252" t="s">
        <v>570</v>
      </c>
      <c r="D1193" s="135" t="s">
        <v>582</v>
      </c>
      <c r="E1193" s="133" t="s">
        <v>447</v>
      </c>
      <c r="F1193" s="134">
        <f>SUM(F1195)</f>
        <v>1</v>
      </c>
      <c r="G1193" s="143"/>
      <c r="H1193" s="143"/>
      <c r="I1193" s="143"/>
    </row>
    <row r="1194" spans="2:13" ht="13.5" thickBot="1" x14ac:dyDescent="0.25">
      <c r="B1194" s="148" t="s">
        <v>234</v>
      </c>
      <c r="C1194" s="148"/>
      <c r="D1194" s="148"/>
      <c r="E1194" s="148"/>
      <c r="F1194" s="148" t="s">
        <v>376</v>
      </c>
      <c r="G1194" s="349" t="s">
        <v>235</v>
      </c>
      <c r="H1194" s="351"/>
      <c r="I1194" s="350"/>
    </row>
    <row r="1195" spans="2:13" ht="13.5" thickBot="1" x14ac:dyDescent="0.25">
      <c r="B1195" s="158">
        <v>1</v>
      </c>
      <c r="C1195" s="144"/>
      <c r="D1195" s="144"/>
      <c r="E1195" s="144"/>
      <c r="F1195" s="144">
        <f>B1195</f>
        <v>1</v>
      </c>
      <c r="G1195" s="352"/>
      <c r="H1195" s="353"/>
      <c r="I1195" s="354"/>
      <c r="K1195" s="143"/>
    </row>
    <row r="1196" spans="2:13" ht="13.5" thickBot="1" x14ac:dyDescent="0.25"/>
    <row r="1197" spans="2:13" ht="13.5" thickBot="1" x14ac:dyDescent="0.25">
      <c r="B1197" s="345" t="s">
        <v>0</v>
      </c>
      <c r="C1197" s="345" t="s">
        <v>9</v>
      </c>
      <c r="D1197" s="345" t="s">
        <v>1</v>
      </c>
      <c r="E1197" s="345" t="s">
        <v>189</v>
      </c>
      <c r="F1197" s="345" t="s">
        <v>8</v>
      </c>
      <c r="G1197" s="143"/>
      <c r="H1197" s="143"/>
      <c r="I1197" s="143"/>
    </row>
    <row r="1198" spans="2:13" ht="13.5" thickBot="1" x14ac:dyDescent="0.25">
      <c r="B1198" s="345"/>
      <c r="C1198" s="345"/>
      <c r="D1198" s="345"/>
      <c r="E1198" s="345"/>
      <c r="F1198" s="345"/>
      <c r="G1198" s="143"/>
      <c r="H1198" s="143"/>
      <c r="I1198" s="143"/>
    </row>
    <row r="1199" spans="2:13" ht="36.75" thickBot="1" x14ac:dyDescent="0.25">
      <c r="B1199" s="140" t="s">
        <v>132</v>
      </c>
      <c r="C1199" s="252" t="s">
        <v>571</v>
      </c>
      <c r="D1199" s="135" t="s">
        <v>583</v>
      </c>
      <c r="E1199" s="133" t="s">
        <v>447</v>
      </c>
      <c r="F1199" s="134">
        <f>SUM(F1201)</f>
        <v>6</v>
      </c>
      <c r="G1199" s="143"/>
      <c r="H1199" s="143"/>
      <c r="I1199" s="143"/>
    </row>
    <row r="1200" spans="2:13" ht="13.5" thickBot="1" x14ac:dyDescent="0.25">
      <c r="B1200" s="148" t="s">
        <v>234</v>
      </c>
      <c r="C1200" s="148"/>
      <c r="D1200" s="148"/>
      <c r="E1200" s="148"/>
      <c r="F1200" s="148" t="s">
        <v>376</v>
      </c>
      <c r="G1200" s="349" t="s">
        <v>235</v>
      </c>
      <c r="H1200" s="351"/>
      <c r="I1200" s="350"/>
    </row>
    <row r="1201" spans="2:11" ht="13.5" thickBot="1" x14ac:dyDescent="0.25">
      <c r="B1201" s="158">
        <v>6</v>
      </c>
      <c r="C1201" s="144"/>
      <c r="D1201" s="144"/>
      <c r="E1201" s="144"/>
      <c r="F1201" s="144">
        <f>B1201</f>
        <v>6</v>
      </c>
      <c r="G1201" s="352"/>
      <c r="H1201" s="353"/>
      <c r="I1201" s="354"/>
      <c r="K1201" s="143"/>
    </row>
    <row r="1202" spans="2:11" ht="13.5" thickBot="1" x14ac:dyDescent="0.25"/>
    <row r="1203" spans="2:11" ht="13.5" thickBot="1" x14ac:dyDescent="0.25">
      <c r="B1203" s="345" t="s">
        <v>0</v>
      </c>
      <c r="C1203" s="345" t="s">
        <v>9</v>
      </c>
      <c r="D1203" s="345" t="s">
        <v>1</v>
      </c>
      <c r="E1203" s="345" t="s">
        <v>189</v>
      </c>
      <c r="F1203" s="345" t="s">
        <v>8</v>
      </c>
      <c r="G1203" s="143"/>
      <c r="H1203" s="143"/>
      <c r="I1203" s="143"/>
    </row>
    <row r="1204" spans="2:11" ht="13.5" thickBot="1" x14ac:dyDescent="0.25">
      <c r="B1204" s="345"/>
      <c r="C1204" s="345"/>
      <c r="D1204" s="345"/>
      <c r="E1204" s="345"/>
      <c r="F1204" s="345"/>
      <c r="G1204" s="143"/>
      <c r="H1204" s="143"/>
      <c r="I1204" s="143"/>
    </row>
    <row r="1205" spans="2:11" ht="36.75" thickBot="1" x14ac:dyDescent="0.25">
      <c r="B1205" s="140" t="s">
        <v>67</v>
      </c>
      <c r="C1205" s="252" t="s">
        <v>572</v>
      </c>
      <c r="D1205" s="135" t="s">
        <v>584</v>
      </c>
      <c r="E1205" s="133" t="s">
        <v>11</v>
      </c>
      <c r="F1205" s="134">
        <f>SUM(F1207)</f>
        <v>3</v>
      </c>
      <c r="G1205" s="143"/>
      <c r="H1205" s="143"/>
      <c r="I1205" s="143"/>
    </row>
    <row r="1206" spans="2:11" ht="13.5" customHeight="1" thickBot="1" x14ac:dyDescent="0.25">
      <c r="B1206" s="148" t="s">
        <v>234</v>
      </c>
      <c r="C1206" s="148"/>
      <c r="D1206" s="148"/>
      <c r="E1206" s="148"/>
      <c r="F1206" s="148" t="s">
        <v>376</v>
      </c>
      <c r="G1206" s="349" t="s">
        <v>235</v>
      </c>
      <c r="H1206" s="351"/>
      <c r="I1206" s="350"/>
    </row>
    <row r="1207" spans="2:11" ht="13.5" thickBot="1" x14ac:dyDescent="0.25">
      <c r="B1207" s="158">
        <v>3</v>
      </c>
      <c r="C1207" s="144"/>
      <c r="D1207" s="144"/>
      <c r="E1207" s="144"/>
      <c r="F1207" s="144">
        <f>B1207</f>
        <v>3</v>
      </c>
      <c r="G1207" s="352"/>
      <c r="H1207" s="353"/>
      <c r="I1207" s="354"/>
      <c r="K1207" s="143"/>
    </row>
    <row r="1209" spans="2:11" ht="13.5" thickBot="1" x14ac:dyDescent="0.25"/>
    <row r="1210" spans="2:11" ht="15.75" thickBot="1" x14ac:dyDescent="0.25">
      <c r="B1210" s="145">
        <v>16</v>
      </c>
      <c r="C1210" s="384" t="s">
        <v>448</v>
      </c>
      <c r="D1210" s="384"/>
      <c r="E1210" s="384"/>
      <c r="F1210" s="384"/>
      <c r="G1210" s="384"/>
      <c r="H1210" s="384"/>
      <c r="I1210" s="384"/>
    </row>
    <row r="1212" spans="2:11" ht="13.5" thickBot="1" x14ac:dyDescent="0.25"/>
    <row r="1213" spans="2:11" ht="13.5" thickBot="1" x14ac:dyDescent="0.25">
      <c r="B1213" s="345" t="s">
        <v>0</v>
      </c>
      <c r="C1213" s="345" t="s">
        <v>9</v>
      </c>
      <c r="D1213" s="345" t="s">
        <v>1</v>
      </c>
      <c r="E1213" s="345" t="s">
        <v>189</v>
      </c>
      <c r="F1213" s="345" t="s">
        <v>8</v>
      </c>
      <c r="G1213" s="143"/>
      <c r="H1213" s="143"/>
      <c r="I1213" s="143"/>
    </row>
    <row r="1214" spans="2:11" ht="13.5" thickBot="1" x14ac:dyDescent="0.25">
      <c r="B1214" s="345"/>
      <c r="C1214" s="345"/>
      <c r="D1214" s="345"/>
      <c r="E1214" s="345"/>
      <c r="F1214" s="345"/>
      <c r="G1214" s="143"/>
      <c r="H1214" s="143"/>
      <c r="I1214" s="143"/>
    </row>
    <row r="1215" spans="2:11" ht="36.75" thickBot="1" x14ac:dyDescent="0.25">
      <c r="B1215" s="140" t="s">
        <v>217</v>
      </c>
      <c r="C1215" s="262" t="s">
        <v>537</v>
      </c>
      <c r="D1215" s="135" t="s">
        <v>449</v>
      </c>
      <c r="E1215" s="133" t="s">
        <v>11</v>
      </c>
      <c r="F1215" s="134">
        <f>SUM(F1217:F1217)</f>
        <v>1</v>
      </c>
      <c r="G1215" s="143"/>
      <c r="H1215" s="143"/>
      <c r="I1215" s="143"/>
    </row>
    <row r="1216" spans="2:11" ht="13.5" customHeight="1" thickBot="1" x14ac:dyDescent="0.25">
      <c r="B1216" s="148" t="s">
        <v>234</v>
      </c>
      <c r="C1216" s="148"/>
      <c r="E1216" s="148"/>
      <c r="F1216" s="148" t="s">
        <v>376</v>
      </c>
      <c r="G1216" s="349" t="s">
        <v>235</v>
      </c>
      <c r="H1216" s="351"/>
      <c r="I1216" s="350"/>
    </row>
    <row r="1217" spans="2:11" ht="13.5" thickBot="1" x14ac:dyDescent="0.25">
      <c r="B1217" s="158">
        <v>1</v>
      </c>
      <c r="C1217" s="144"/>
      <c r="D1217" s="144"/>
      <c r="E1217" s="144"/>
      <c r="F1217" s="144">
        <f>B1217</f>
        <v>1</v>
      </c>
      <c r="G1217" s="352"/>
      <c r="H1217" s="353"/>
      <c r="I1217" s="354"/>
    </row>
    <row r="1219" spans="2:11" ht="13.5" thickBot="1" x14ac:dyDescent="0.25"/>
    <row r="1220" spans="2:11" ht="13.5" thickBot="1" x14ac:dyDescent="0.25">
      <c r="B1220" s="345" t="s">
        <v>0</v>
      </c>
      <c r="C1220" s="345" t="s">
        <v>9</v>
      </c>
      <c r="D1220" s="345" t="s">
        <v>1</v>
      </c>
      <c r="E1220" s="345" t="s">
        <v>189</v>
      </c>
      <c r="F1220" s="345" t="s">
        <v>8</v>
      </c>
      <c r="G1220" s="143"/>
      <c r="H1220" s="143"/>
      <c r="I1220" s="143"/>
    </row>
    <row r="1221" spans="2:11" ht="13.5" thickBot="1" x14ac:dyDescent="0.25">
      <c r="B1221" s="345"/>
      <c r="C1221" s="345"/>
      <c r="D1221" s="345"/>
      <c r="E1221" s="345"/>
      <c r="F1221" s="345"/>
      <c r="G1221" s="143"/>
      <c r="H1221" s="143"/>
      <c r="I1221" s="143"/>
    </row>
    <row r="1222" spans="2:11" ht="24.75" thickBot="1" x14ac:dyDescent="0.25">
      <c r="B1222" s="140" t="s">
        <v>218</v>
      </c>
      <c r="C1222" s="262" t="s">
        <v>537</v>
      </c>
      <c r="D1222" s="135" t="s">
        <v>428</v>
      </c>
      <c r="E1222" s="133" t="s">
        <v>11</v>
      </c>
      <c r="F1222" s="134">
        <f>SUM(F1224:F1234)</f>
        <v>1</v>
      </c>
      <c r="G1222" s="143"/>
      <c r="H1222" s="143"/>
      <c r="I1222" s="143"/>
    </row>
    <row r="1223" spans="2:11" ht="13.5" thickBot="1" x14ac:dyDescent="0.25">
      <c r="B1223" s="148" t="s">
        <v>234</v>
      </c>
      <c r="C1223" s="148"/>
      <c r="E1223" s="148"/>
      <c r="F1223" s="148" t="s">
        <v>376</v>
      </c>
      <c r="G1223" s="349" t="s">
        <v>235</v>
      </c>
      <c r="H1223" s="351"/>
      <c r="I1223" s="350"/>
    </row>
    <row r="1224" spans="2:11" ht="13.5" thickBot="1" x14ac:dyDescent="0.25">
      <c r="B1224" s="158">
        <v>1</v>
      </c>
      <c r="C1224" s="144"/>
      <c r="D1224" s="144"/>
      <c r="E1224" s="144"/>
      <c r="F1224" s="144">
        <f>B1224</f>
        <v>1</v>
      </c>
      <c r="G1224" s="352"/>
      <c r="H1224" s="353"/>
      <c r="I1224" s="354"/>
      <c r="K1224" s="143" t="s">
        <v>427</v>
      </c>
    </row>
    <row r="1226" spans="2:11" ht="13.5" thickBot="1" x14ac:dyDescent="0.25"/>
    <row r="1227" spans="2:11" ht="15.75" thickBot="1" x14ac:dyDescent="0.25">
      <c r="B1227" s="145">
        <v>17</v>
      </c>
      <c r="C1227" s="384" t="s">
        <v>450</v>
      </c>
      <c r="D1227" s="384"/>
      <c r="E1227" s="384"/>
      <c r="F1227" s="384"/>
      <c r="G1227" s="384"/>
      <c r="H1227" s="384"/>
      <c r="I1227" s="384"/>
    </row>
    <row r="1229" spans="2:11" ht="13.5" thickBot="1" x14ac:dyDescent="0.25"/>
    <row r="1230" spans="2:11" ht="13.5" thickBot="1" x14ac:dyDescent="0.25">
      <c r="B1230" s="371" t="s">
        <v>0</v>
      </c>
      <c r="C1230" s="371" t="s">
        <v>9</v>
      </c>
      <c r="D1230" s="371" t="s">
        <v>1</v>
      </c>
      <c r="E1230" s="371" t="s">
        <v>189</v>
      </c>
      <c r="F1230" s="371" t="s">
        <v>8</v>
      </c>
      <c r="G1230" s="198"/>
      <c r="H1230" s="198"/>
      <c r="I1230" s="198"/>
    </row>
    <row r="1231" spans="2:11" ht="13.5" thickBot="1" x14ac:dyDescent="0.25">
      <c r="B1231" s="371"/>
      <c r="C1231" s="371"/>
      <c r="D1231" s="371"/>
      <c r="E1231" s="371"/>
      <c r="F1231" s="371"/>
      <c r="G1231" s="198"/>
      <c r="H1231" s="198"/>
      <c r="I1231" s="198"/>
    </row>
    <row r="1232" spans="2:11" ht="13.5" thickBot="1" x14ac:dyDescent="0.25">
      <c r="B1232" s="199" t="s">
        <v>46</v>
      </c>
      <c r="C1232" s="200"/>
      <c r="D1232" s="201"/>
      <c r="E1232" s="202" t="s">
        <v>10</v>
      </c>
      <c r="F1232" s="203">
        <f>SUM(F1235:F1237)</f>
        <v>0</v>
      </c>
      <c r="G1232" s="198"/>
      <c r="H1232" s="198"/>
      <c r="I1232" s="198"/>
    </row>
    <row r="1233" spans="2:9" ht="13.5" thickBot="1" x14ac:dyDescent="0.25">
      <c r="B1233" s="372" t="s">
        <v>377</v>
      </c>
      <c r="C1233" s="373"/>
      <c r="D1233" s="373"/>
      <c r="E1233" s="373"/>
      <c r="F1233" s="373"/>
      <c r="G1233" s="373"/>
      <c r="H1233" s="373"/>
      <c r="I1233" s="374"/>
    </row>
    <row r="1234" spans="2:9" ht="13.5" thickBot="1" x14ac:dyDescent="0.25">
      <c r="B1234" s="165" t="s">
        <v>234</v>
      </c>
      <c r="C1234" s="165"/>
      <c r="D1234" s="165" t="s">
        <v>255</v>
      </c>
      <c r="E1234" s="165" t="s">
        <v>315</v>
      </c>
      <c r="F1234" s="165" t="s">
        <v>300</v>
      </c>
      <c r="G1234" s="378" t="s">
        <v>235</v>
      </c>
      <c r="H1234" s="379"/>
      <c r="I1234" s="380"/>
    </row>
    <row r="1235" spans="2:9" ht="13.5" thickBot="1" x14ac:dyDescent="0.25">
      <c r="B1235" s="168"/>
      <c r="C1235" s="164"/>
      <c r="D1235" s="164"/>
      <c r="E1235" s="164"/>
      <c r="F1235" s="164"/>
      <c r="G1235" s="381"/>
      <c r="H1235" s="382"/>
      <c r="I1235" s="383"/>
    </row>
    <row r="1236" spans="2:9" ht="13.5" thickBot="1" x14ac:dyDescent="0.25">
      <c r="B1236" s="168"/>
      <c r="C1236" s="164"/>
      <c r="D1236" s="164"/>
      <c r="E1236" s="164"/>
      <c r="F1236" s="164"/>
      <c r="G1236" s="381"/>
      <c r="H1236" s="382"/>
      <c r="I1236" s="383"/>
    </row>
    <row r="1238" spans="2:9" ht="13.5" thickBot="1" x14ac:dyDescent="0.25"/>
    <row r="1239" spans="2:9" ht="15.75" thickBot="1" x14ac:dyDescent="0.25">
      <c r="B1239" s="145">
        <v>18</v>
      </c>
      <c r="C1239" s="384" t="s">
        <v>5</v>
      </c>
      <c r="D1239" s="384"/>
      <c r="E1239" s="384"/>
      <c r="F1239" s="384"/>
      <c r="G1239" s="384"/>
      <c r="H1239" s="384"/>
      <c r="I1239" s="384"/>
    </row>
    <row r="1241" spans="2:9" ht="13.5" thickBot="1" x14ac:dyDescent="0.25"/>
    <row r="1242" spans="2:9" ht="13.5" thickBot="1" x14ac:dyDescent="0.25">
      <c r="B1242" s="345" t="s">
        <v>0</v>
      </c>
      <c r="C1242" s="345" t="s">
        <v>9</v>
      </c>
      <c r="D1242" s="345" t="s">
        <v>1</v>
      </c>
      <c r="E1242" s="345" t="s">
        <v>189</v>
      </c>
      <c r="F1242" s="345" t="s">
        <v>8</v>
      </c>
      <c r="G1242" s="143"/>
      <c r="H1242" s="143"/>
      <c r="I1242" s="143"/>
    </row>
    <row r="1243" spans="2:9" ht="13.5" thickBot="1" x14ac:dyDescent="0.25">
      <c r="B1243" s="345"/>
      <c r="C1243" s="345"/>
      <c r="D1243" s="345"/>
      <c r="E1243" s="345"/>
      <c r="F1243" s="345"/>
      <c r="G1243" s="143"/>
      <c r="H1243" s="143"/>
      <c r="I1243" s="143"/>
    </row>
    <row r="1244" spans="2:9" ht="24.75" thickBot="1" x14ac:dyDescent="0.25">
      <c r="B1244" s="140" t="s">
        <v>48</v>
      </c>
      <c r="C1244" s="140">
        <v>88497</v>
      </c>
      <c r="D1244" s="135" t="s">
        <v>173</v>
      </c>
      <c r="E1244" s="133" t="s">
        <v>10</v>
      </c>
      <c r="F1244" s="134">
        <f>SUM(F1246:F1255)</f>
        <v>46.449400000000004</v>
      </c>
      <c r="G1244" s="143"/>
      <c r="H1244" s="143"/>
      <c r="I1244" s="143"/>
    </row>
    <row r="1245" spans="2:9" ht="24.75" thickBot="1" x14ac:dyDescent="0.25">
      <c r="B1245" s="157" t="s">
        <v>234</v>
      </c>
      <c r="C1245" s="157" t="s">
        <v>314</v>
      </c>
      <c r="D1245" s="157" t="s">
        <v>255</v>
      </c>
      <c r="E1245" s="157" t="s">
        <v>360</v>
      </c>
      <c r="F1245" s="157" t="s">
        <v>300</v>
      </c>
      <c r="G1245" s="349" t="s">
        <v>235</v>
      </c>
      <c r="H1245" s="351"/>
      <c r="I1245" s="350"/>
    </row>
    <row r="1246" spans="2:9" ht="13.5" customHeight="1" thickBot="1" x14ac:dyDescent="0.25">
      <c r="B1246" s="158">
        <v>1</v>
      </c>
      <c r="C1246" s="158">
        <v>2.7</v>
      </c>
      <c r="D1246" s="158">
        <v>2.4300000000000002</v>
      </c>
      <c r="E1246" s="158">
        <f>0.66*2.13</f>
        <v>1.4057999999999999</v>
      </c>
      <c r="F1246" s="195">
        <f>(C1246*D1246)-E1246</f>
        <v>5.1552000000000007</v>
      </c>
      <c r="G1246" s="352" t="s">
        <v>285</v>
      </c>
      <c r="H1246" s="353"/>
      <c r="I1246" s="354"/>
    </row>
    <row r="1247" spans="2:9" ht="13.5" customHeight="1" thickBot="1" x14ac:dyDescent="0.25">
      <c r="B1247" s="158">
        <v>1</v>
      </c>
      <c r="C1247" s="158">
        <v>2.7</v>
      </c>
      <c r="D1247" s="158">
        <v>1.5</v>
      </c>
      <c r="E1247" s="158"/>
      <c r="F1247" s="195">
        <f t="shared" ref="F1247:F1255" si="46">(C1247*D1247)-E1247</f>
        <v>4.0500000000000007</v>
      </c>
      <c r="G1247" s="352" t="s">
        <v>286</v>
      </c>
      <c r="H1247" s="353"/>
      <c r="I1247" s="354"/>
    </row>
    <row r="1248" spans="2:9" ht="13.5" thickBot="1" x14ac:dyDescent="0.25">
      <c r="B1248" s="158">
        <v>1</v>
      </c>
      <c r="C1248" s="158">
        <v>2.7</v>
      </c>
      <c r="D1248" s="158">
        <v>0.9</v>
      </c>
      <c r="E1248" s="158">
        <f>0.9*2.1</f>
        <v>1.8900000000000001</v>
      </c>
      <c r="F1248" s="195">
        <f t="shared" si="46"/>
        <v>0.54</v>
      </c>
      <c r="G1248" s="352" t="s">
        <v>287</v>
      </c>
      <c r="H1248" s="353"/>
      <c r="I1248" s="354"/>
    </row>
    <row r="1249" spans="2:9" ht="13.5" thickBot="1" x14ac:dyDescent="0.25">
      <c r="B1249" s="158">
        <v>1</v>
      </c>
      <c r="C1249" s="158">
        <v>2.7</v>
      </c>
      <c r="D1249" s="158">
        <v>3.55</v>
      </c>
      <c r="E1249" s="158">
        <f>1.4*1.2</f>
        <v>1.68</v>
      </c>
      <c r="F1249" s="195">
        <f t="shared" si="46"/>
        <v>7.9050000000000011</v>
      </c>
      <c r="G1249" s="352" t="s">
        <v>288</v>
      </c>
      <c r="H1249" s="353"/>
      <c r="I1249" s="354"/>
    </row>
    <row r="1250" spans="2:9" ht="13.5" thickBot="1" x14ac:dyDescent="0.25">
      <c r="B1250" s="158">
        <v>1</v>
      </c>
      <c r="C1250" s="158">
        <v>2.7</v>
      </c>
      <c r="D1250" s="158">
        <v>5.2</v>
      </c>
      <c r="E1250" s="158">
        <v>6.3</v>
      </c>
      <c r="F1250" s="195">
        <f t="shared" si="46"/>
        <v>7.7400000000000011</v>
      </c>
      <c r="G1250" s="352" t="s">
        <v>289</v>
      </c>
      <c r="H1250" s="353"/>
      <c r="I1250" s="354"/>
    </row>
    <row r="1251" spans="2:9" ht="13.5" thickBot="1" x14ac:dyDescent="0.25">
      <c r="B1251" s="158">
        <v>1</v>
      </c>
      <c r="C1251" s="158">
        <v>2.7</v>
      </c>
      <c r="D1251" s="158">
        <v>2.0499999999999998</v>
      </c>
      <c r="E1251" s="158">
        <f>1.4*1.2</f>
        <v>1.68</v>
      </c>
      <c r="F1251" s="195">
        <f t="shared" si="46"/>
        <v>3.8550000000000004</v>
      </c>
      <c r="G1251" s="352" t="s">
        <v>290</v>
      </c>
      <c r="H1251" s="353"/>
      <c r="I1251" s="354"/>
    </row>
    <row r="1252" spans="2:9" ht="13.5" thickBot="1" x14ac:dyDescent="0.25">
      <c r="B1252" s="158">
        <v>1</v>
      </c>
      <c r="C1252" s="158">
        <v>2.7</v>
      </c>
      <c r="D1252" s="158">
        <v>2.25</v>
      </c>
      <c r="E1252" s="158">
        <f>0.66*2.13</f>
        <v>1.4057999999999999</v>
      </c>
      <c r="F1252" s="195">
        <f t="shared" si="46"/>
        <v>4.6692</v>
      </c>
      <c r="G1252" s="352" t="s">
        <v>291</v>
      </c>
      <c r="H1252" s="353"/>
      <c r="I1252" s="354"/>
    </row>
    <row r="1253" spans="2:9" ht="13.5" thickBot="1" x14ac:dyDescent="0.25">
      <c r="B1253" s="158">
        <v>1</v>
      </c>
      <c r="C1253" s="158">
        <v>2.7</v>
      </c>
      <c r="D1253" s="158">
        <v>2.25</v>
      </c>
      <c r="E1253" s="158">
        <v>0.02</v>
      </c>
      <c r="F1253" s="195">
        <f t="shared" si="46"/>
        <v>6.0550000000000006</v>
      </c>
      <c r="G1253" s="352" t="s">
        <v>292</v>
      </c>
      <c r="H1253" s="353"/>
      <c r="I1253" s="354"/>
    </row>
    <row r="1254" spans="2:9" ht="13.5" thickBot="1" x14ac:dyDescent="0.25">
      <c r="B1254" s="158">
        <v>1</v>
      </c>
      <c r="C1254" s="158">
        <v>2.7</v>
      </c>
      <c r="D1254" s="158">
        <v>1.2</v>
      </c>
      <c r="E1254" s="158"/>
      <c r="F1254" s="195">
        <f t="shared" si="46"/>
        <v>3.24</v>
      </c>
      <c r="G1254" s="352" t="s">
        <v>335</v>
      </c>
      <c r="H1254" s="353"/>
      <c r="I1254" s="354"/>
    </row>
    <row r="1255" spans="2:9" ht="13.5" thickBot="1" x14ac:dyDescent="0.25">
      <c r="B1255" s="158">
        <v>1</v>
      </c>
      <c r="C1255" s="158">
        <v>2.7</v>
      </c>
      <c r="D1255" s="158">
        <v>1.2</v>
      </c>
      <c r="E1255" s="158"/>
      <c r="F1255" s="195">
        <f t="shared" si="46"/>
        <v>3.24</v>
      </c>
      <c r="G1255" s="352" t="s">
        <v>336</v>
      </c>
      <c r="H1255" s="353"/>
      <c r="I1255" s="354"/>
    </row>
    <row r="1256" spans="2:9" ht="13.5" thickBot="1" x14ac:dyDescent="0.25"/>
    <row r="1257" spans="2:9" ht="13.5" thickBot="1" x14ac:dyDescent="0.25">
      <c r="B1257" s="345" t="s">
        <v>0</v>
      </c>
      <c r="C1257" s="345" t="s">
        <v>9</v>
      </c>
      <c r="D1257" s="345" t="s">
        <v>1</v>
      </c>
      <c r="E1257" s="345" t="s">
        <v>189</v>
      </c>
      <c r="F1257" s="345" t="s">
        <v>8</v>
      </c>
      <c r="G1257" s="143"/>
      <c r="H1257" s="143"/>
      <c r="I1257" s="143"/>
    </row>
    <row r="1258" spans="2:9" ht="13.5" thickBot="1" x14ac:dyDescent="0.25">
      <c r="B1258" s="345"/>
      <c r="C1258" s="345"/>
      <c r="D1258" s="345"/>
      <c r="E1258" s="345"/>
      <c r="F1258" s="345"/>
      <c r="G1258" s="143"/>
      <c r="H1258" s="143"/>
      <c r="I1258" s="143"/>
    </row>
    <row r="1259" spans="2:9" ht="24.75" thickBot="1" x14ac:dyDescent="0.25">
      <c r="B1259" s="140" t="s">
        <v>54</v>
      </c>
      <c r="C1259" s="140">
        <v>88488</v>
      </c>
      <c r="D1259" s="135" t="s">
        <v>640</v>
      </c>
      <c r="E1259" s="133" t="s">
        <v>10</v>
      </c>
      <c r="F1259" s="134">
        <f>SUM(F1261:F1264)</f>
        <v>22.884999999999998</v>
      </c>
      <c r="G1259" s="143"/>
      <c r="H1259" s="143"/>
      <c r="I1259" s="143"/>
    </row>
    <row r="1260" spans="2:9" ht="24.75" thickBot="1" x14ac:dyDescent="0.25">
      <c r="B1260" s="157" t="s">
        <v>234</v>
      </c>
      <c r="C1260" s="157" t="s">
        <v>315</v>
      </c>
      <c r="D1260" s="157" t="s">
        <v>255</v>
      </c>
      <c r="E1260" s="157" t="s">
        <v>360</v>
      </c>
      <c r="F1260" s="157" t="s">
        <v>300</v>
      </c>
      <c r="G1260" s="349" t="s">
        <v>235</v>
      </c>
      <c r="H1260" s="351"/>
      <c r="I1260" s="350"/>
    </row>
    <row r="1261" spans="2:9" ht="13.5" thickBot="1" x14ac:dyDescent="0.25">
      <c r="B1261" s="158">
        <v>1</v>
      </c>
      <c r="C1261" s="195">
        <v>3.3</v>
      </c>
      <c r="D1261" s="157">
        <v>3.35</v>
      </c>
      <c r="E1261" s="157"/>
      <c r="F1261" s="157">
        <f>B1261*C1261*D1261</f>
        <v>11.055</v>
      </c>
      <c r="G1261" s="349" t="s">
        <v>399</v>
      </c>
      <c r="H1261" s="351"/>
      <c r="I1261" s="350"/>
    </row>
    <row r="1262" spans="2:9" ht="13.5" thickBot="1" x14ac:dyDescent="0.25">
      <c r="B1262" s="158">
        <v>1</v>
      </c>
      <c r="C1262" s="195">
        <v>1.2</v>
      </c>
      <c r="D1262" s="157">
        <v>2.25</v>
      </c>
      <c r="E1262" s="157"/>
      <c r="F1262" s="157">
        <f>B1262*C1262*D1262</f>
        <v>2.6999999999999997</v>
      </c>
      <c r="G1262" s="349" t="s">
        <v>400</v>
      </c>
      <c r="H1262" s="351"/>
      <c r="I1262" s="350"/>
    </row>
    <row r="1263" spans="2:9" ht="13.5" thickBot="1" x14ac:dyDescent="0.25">
      <c r="B1263" s="158">
        <v>1</v>
      </c>
      <c r="C1263" s="195">
        <v>0.9</v>
      </c>
      <c r="D1263" s="195">
        <v>0.9</v>
      </c>
      <c r="E1263" s="195"/>
      <c r="F1263" s="157">
        <f>B1263*C1263*D1263</f>
        <v>0.81</v>
      </c>
      <c r="G1263" s="358" t="s">
        <v>401</v>
      </c>
      <c r="H1263" s="358"/>
      <c r="I1263" s="358"/>
    </row>
    <row r="1264" spans="2:9" ht="13.5" thickBot="1" x14ac:dyDescent="0.25">
      <c r="B1264" s="158">
        <v>2</v>
      </c>
      <c r="C1264" s="195">
        <v>1.6</v>
      </c>
      <c r="D1264" s="195">
        <v>2.6</v>
      </c>
      <c r="E1264" s="195"/>
      <c r="F1264" s="157">
        <f>B1264*C1264*D1264</f>
        <v>8.32</v>
      </c>
      <c r="G1264" s="358" t="s">
        <v>401</v>
      </c>
      <c r="H1264" s="358"/>
      <c r="I1264" s="358"/>
    </row>
    <row r="1265" spans="2:9" ht="13.5" thickBot="1" x14ac:dyDescent="0.25"/>
    <row r="1266" spans="2:9" ht="13.5" thickBot="1" x14ac:dyDescent="0.25">
      <c r="B1266" s="345" t="s">
        <v>0</v>
      </c>
      <c r="C1266" s="345" t="s">
        <v>9</v>
      </c>
      <c r="D1266" s="345" t="s">
        <v>1</v>
      </c>
      <c r="E1266" s="345" t="s">
        <v>189</v>
      </c>
      <c r="F1266" s="345" t="s">
        <v>8</v>
      </c>
      <c r="G1266" s="143"/>
      <c r="H1266" s="143"/>
      <c r="I1266" s="143"/>
    </row>
    <row r="1267" spans="2:9" ht="13.5" thickBot="1" x14ac:dyDescent="0.25">
      <c r="B1267" s="345"/>
      <c r="C1267" s="345"/>
      <c r="D1267" s="345"/>
      <c r="E1267" s="345"/>
      <c r="F1267" s="345"/>
      <c r="G1267" s="143"/>
      <c r="H1267" s="143"/>
      <c r="I1267" s="143"/>
    </row>
    <row r="1268" spans="2:9" ht="24.75" thickBot="1" x14ac:dyDescent="0.25">
      <c r="B1268" s="140" t="s">
        <v>55</v>
      </c>
      <c r="C1268" s="140">
        <v>88496</v>
      </c>
      <c r="D1268" s="135" t="s">
        <v>172</v>
      </c>
      <c r="E1268" s="133" t="s">
        <v>10</v>
      </c>
      <c r="F1268" s="134">
        <f>SUM(F1270:F1273)</f>
        <v>22.884999999999998</v>
      </c>
      <c r="G1268" s="143"/>
      <c r="H1268" s="143"/>
      <c r="I1268" s="143"/>
    </row>
    <row r="1269" spans="2:9" ht="24.75" thickBot="1" x14ac:dyDescent="0.25">
      <c r="B1269" s="157" t="s">
        <v>234</v>
      </c>
      <c r="C1269" s="157" t="s">
        <v>315</v>
      </c>
      <c r="D1269" s="157" t="s">
        <v>255</v>
      </c>
      <c r="E1269" s="157" t="s">
        <v>360</v>
      </c>
      <c r="F1269" s="157" t="s">
        <v>300</v>
      </c>
      <c r="G1269" s="349" t="s">
        <v>235</v>
      </c>
      <c r="H1269" s="351"/>
      <c r="I1269" s="350"/>
    </row>
    <row r="1270" spans="2:9" ht="13.5" customHeight="1" thickBot="1" x14ac:dyDescent="0.25">
      <c r="B1270" s="158">
        <v>1</v>
      </c>
      <c r="C1270" s="195">
        <v>3.3</v>
      </c>
      <c r="D1270" s="157">
        <v>3.35</v>
      </c>
      <c r="E1270" s="157"/>
      <c r="F1270" s="157">
        <f>B1270*C1270*D1270</f>
        <v>11.055</v>
      </c>
      <c r="G1270" s="349" t="s">
        <v>399</v>
      </c>
      <c r="H1270" s="351"/>
      <c r="I1270" s="350"/>
    </row>
    <row r="1271" spans="2:9" ht="13.5" thickBot="1" x14ac:dyDescent="0.25">
      <c r="B1271" s="158">
        <v>1</v>
      </c>
      <c r="C1271" s="195">
        <v>1.2</v>
      </c>
      <c r="D1271" s="157">
        <v>2.25</v>
      </c>
      <c r="E1271" s="157"/>
      <c r="F1271" s="157">
        <f>B1271*C1271*D1271</f>
        <v>2.6999999999999997</v>
      </c>
      <c r="G1271" s="349" t="s">
        <v>400</v>
      </c>
      <c r="H1271" s="351"/>
      <c r="I1271" s="350"/>
    </row>
    <row r="1272" spans="2:9" ht="13.5" thickBot="1" x14ac:dyDescent="0.25">
      <c r="B1272" s="158">
        <v>1</v>
      </c>
      <c r="C1272" s="195">
        <v>0.9</v>
      </c>
      <c r="D1272" s="195">
        <v>0.9</v>
      </c>
      <c r="E1272" s="195"/>
      <c r="F1272" s="157">
        <f>B1272*C1272*D1272</f>
        <v>0.81</v>
      </c>
      <c r="G1272" s="358" t="s">
        <v>401</v>
      </c>
      <c r="H1272" s="358"/>
      <c r="I1272" s="358"/>
    </row>
    <row r="1273" spans="2:9" ht="13.5" thickBot="1" x14ac:dyDescent="0.25">
      <c r="B1273" s="158">
        <v>2</v>
      </c>
      <c r="C1273" s="195">
        <v>1.6</v>
      </c>
      <c r="D1273" s="195">
        <v>2.6</v>
      </c>
      <c r="E1273" s="195"/>
      <c r="F1273" s="157">
        <f>B1273*C1273*D1273</f>
        <v>8.32</v>
      </c>
      <c r="G1273" s="358" t="s">
        <v>401</v>
      </c>
      <c r="H1273" s="358"/>
      <c r="I1273" s="358"/>
    </row>
    <row r="1274" spans="2:9" ht="13.5" thickBot="1" x14ac:dyDescent="0.25"/>
    <row r="1275" spans="2:9" ht="13.5" thickBot="1" x14ac:dyDescent="0.25">
      <c r="B1275" s="345" t="s">
        <v>0</v>
      </c>
      <c r="C1275" s="345" t="s">
        <v>9</v>
      </c>
      <c r="D1275" s="345" t="s">
        <v>1</v>
      </c>
      <c r="E1275" s="345" t="s">
        <v>189</v>
      </c>
      <c r="F1275" s="345" t="s">
        <v>8</v>
      </c>
      <c r="G1275" s="143"/>
      <c r="H1275" s="143"/>
      <c r="I1275" s="143"/>
    </row>
    <row r="1276" spans="2:9" ht="13.5" thickBot="1" x14ac:dyDescent="0.25">
      <c r="B1276" s="345"/>
      <c r="C1276" s="345"/>
      <c r="D1276" s="345"/>
      <c r="E1276" s="345"/>
      <c r="F1276" s="345"/>
      <c r="G1276" s="143"/>
      <c r="H1276" s="143"/>
      <c r="I1276" s="143"/>
    </row>
    <row r="1277" spans="2:9" ht="24.75" thickBot="1" x14ac:dyDescent="0.25">
      <c r="B1277" s="140" t="s">
        <v>56</v>
      </c>
      <c r="C1277" s="140">
        <v>88489</v>
      </c>
      <c r="D1277" s="135" t="s">
        <v>174</v>
      </c>
      <c r="E1277" s="133" t="s">
        <v>10</v>
      </c>
      <c r="F1277" s="134">
        <f>SUM(F1280:F1288)</f>
        <v>41.294200000000011</v>
      </c>
      <c r="G1277" s="143"/>
      <c r="H1277" s="143"/>
      <c r="I1277" s="143"/>
    </row>
    <row r="1278" spans="2:9" ht="24.75" thickBot="1" x14ac:dyDescent="0.25">
      <c r="B1278" s="157" t="s">
        <v>234</v>
      </c>
      <c r="C1278" s="157" t="s">
        <v>314</v>
      </c>
      <c r="D1278" s="157" t="s">
        <v>255</v>
      </c>
      <c r="E1278" s="157" t="s">
        <v>360</v>
      </c>
      <c r="F1278" s="157" t="s">
        <v>300</v>
      </c>
      <c r="G1278" s="349" t="s">
        <v>235</v>
      </c>
      <c r="H1278" s="351"/>
      <c r="I1278" s="350"/>
    </row>
    <row r="1279" spans="2:9" ht="13.5" customHeight="1" thickBot="1" x14ac:dyDescent="0.25">
      <c r="B1279" s="158">
        <v>1</v>
      </c>
      <c r="C1279" s="158">
        <v>2.7</v>
      </c>
      <c r="D1279" s="158">
        <v>2.4300000000000002</v>
      </c>
      <c r="E1279" s="158">
        <f>0.66*2.13</f>
        <v>1.4057999999999999</v>
      </c>
      <c r="F1279" s="195">
        <f>(C1279*D1279)-E1279</f>
        <v>5.1552000000000007</v>
      </c>
      <c r="G1279" s="352" t="s">
        <v>285</v>
      </c>
      <c r="H1279" s="353"/>
      <c r="I1279" s="354"/>
    </row>
    <row r="1280" spans="2:9" ht="13.5" thickBot="1" x14ac:dyDescent="0.25">
      <c r="B1280" s="158">
        <v>1</v>
      </c>
      <c r="C1280" s="158">
        <v>2.7</v>
      </c>
      <c r="D1280" s="158">
        <v>1.5</v>
      </c>
      <c r="E1280" s="158"/>
      <c r="F1280" s="195">
        <f t="shared" ref="F1280:F1288" si="47">(C1280*D1280)-E1280</f>
        <v>4.0500000000000007</v>
      </c>
      <c r="G1280" s="352" t="s">
        <v>286</v>
      </c>
      <c r="H1280" s="353"/>
      <c r="I1280" s="354"/>
    </row>
    <row r="1281" spans="2:9" ht="13.5" thickBot="1" x14ac:dyDescent="0.25">
      <c r="B1281" s="158">
        <v>1</v>
      </c>
      <c r="C1281" s="158">
        <v>2.7</v>
      </c>
      <c r="D1281" s="158">
        <v>0.9</v>
      </c>
      <c r="E1281" s="158">
        <f>0.9*2.1</f>
        <v>1.8900000000000001</v>
      </c>
      <c r="F1281" s="195">
        <f t="shared" si="47"/>
        <v>0.54</v>
      </c>
      <c r="G1281" s="352" t="s">
        <v>287</v>
      </c>
      <c r="H1281" s="353"/>
      <c r="I1281" s="354"/>
    </row>
    <row r="1282" spans="2:9" ht="13.5" thickBot="1" x14ac:dyDescent="0.25">
      <c r="B1282" s="158">
        <v>1</v>
      </c>
      <c r="C1282" s="158">
        <v>2.7</v>
      </c>
      <c r="D1282" s="158">
        <v>3.55</v>
      </c>
      <c r="E1282" s="158">
        <f>1.4*1.2</f>
        <v>1.68</v>
      </c>
      <c r="F1282" s="195">
        <f t="shared" si="47"/>
        <v>7.9050000000000011</v>
      </c>
      <c r="G1282" s="352" t="s">
        <v>288</v>
      </c>
      <c r="H1282" s="353"/>
      <c r="I1282" s="354"/>
    </row>
    <row r="1283" spans="2:9" ht="13.5" thickBot="1" x14ac:dyDescent="0.25">
      <c r="B1283" s="158">
        <v>1</v>
      </c>
      <c r="C1283" s="158">
        <v>2.7</v>
      </c>
      <c r="D1283" s="158">
        <v>5.2</v>
      </c>
      <c r="E1283" s="158">
        <v>6.3</v>
      </c>
      <c r="F1283" s="195">
        <f t="shared" si="47"/>
        <v>7.7400000000000011</v>
      </c>
      <c r="G1283" s="352" t="s">
        <v>289</v>
      </c>
      <c r="H1283" s="353"/>
      <c r="I1283" s="354"/>
    </row>
    <row r="1284" spans="2:9" ht="13.5" thickBot="1" x14ac:dyDescent="0.25">
      <c r="B1284" s="158">
        <v>1</v>
      </c>
      <c r="C1284" s="158">
        <v>2.7</v>
      </c>
      <c r="D1284" s="158">
        <v>2.0499999999999998</v>
      </c>
      <c r="E1284" s="158">
        <f>1.4*1.2</f>
        <v>1.68</v>
      </c>
      <c r="F1284" s="195">
        <f t="shared" si="47"/>
        <v>3.8550000000000004</v>
      </c>
      <c r="G1284" s="352" t="s">
        <v>290</v>
      </c>
      <c r="H1284" s="353"/>
      <c r="I1284" s="354"/>
    </row>
    <row r="1285" spans="2:9" ht="13.5" thickBot="1" x14ac:dyDescent="0.25">
      <c r="B1285" s="158">
        <v>1</v>
      </c>
      <c r="C1285" s="158">
        <v>2.7</v>
      </c>
      <c r="D1285" s="158">
        <v>2.25</v>
      </c>
      <c r="E1285" s="158">
        <f>0.66*2.13</f>
        <v>1.4057999999999999</v>
      </c>
      <c r="F1285" s="195">
        <f t="shared" si="47"/>
        <v>4.6692</v>
      </c>
      <c r="G1285" s="352" t="s">
        <v>291</v>
      </c>
      <c r="H1285" s="353"/>
      <c r="I1285" s="354"/>
    </row>
    <row r="1286" spans="2:9" ht="13.5" thickBot="1" x14ac:dyDescent="0.25">
      <c r="B1286" s="158">
        <v>1</v>
      </c>
      <c r="C1286" s="158">
        <v>2.7</v>
      </c>
      <c r="D1286" s="158">
        <v>2.25</v>
      </c>
      <c r="E1286" s="158">
        <v>0.02</v>
      </c>
      <c r="F1286" s="195">
        <f t="shared" si="47"/>
        <v>6.0550000000000006</v>
      </c>
      <c r="G1286" s="352" t="s">
        <v>292</v>
      </c>
      <c r="H1286" s="353"/>
      <c r="I1286" s="354"/>
    </row>
    <row r="1287" spans="2:9" ht="13.5" thickBot="1" x14ac:dyDescent="0.25">
      <c r="B1287" s="158">
        <v>1</v>
      </c>
      <c r="C1287" s="158">
        <v>2.7</v>
      </c>
      <c r="D1287" s="158">
        <v>1.2</v>
      </c>
      <c r="E1287" s="158"/>
      <c r="F1287" s="195">
        <f t="shared" si="47"/>
        <v>3.24</v>
      </c>
      <c r="G1287" s="352" t="s">
        <v>335</v>
      </c>
      <c r="H1287" s="353"/>
      <c r="I1287" s="354"/>
    </row>
    <row r="1288" spans="2:9" ht="13.5" thickBot="1" x14ac:dyDescent="0.25">
      <c r="B1288" s="158">
        <v>1</v>
      </c>
      <c r="C1288" s="158">
        <v>2.7</v>
      </c>
      <c r="D1288" s="158">
        <v>1.2</v>
      </c>
      <c r="E1288" s="158"/>
      <c r="F1288" s="195">
        <f t="shared" si="47"/>
        <v>3.24</v>
      </c>
      <c r="G1288" s="352" t="s">
        <v>336</v>
      </c>
      <c r="H1288" s="353"/>
      <c r="I1288" s="354"/>
    </row>
    <row r="1289" spans="2:9" ht="13.5" thickBot="1" x14ac:dyDescent="0.25"/>
    <row r="1290" spans="2:9" x14ac:dyDescent="0.2">
      <c r="B1290" s="359" t="s">
        <v>0</v>
      </c>
      <c r="C1290" s="359" t="s">
        <v>9</v>
      </c>
      <c r="D1290" s="359" t="s">
        <v>1</v>
      </c>
      <c r="E1290" s="359" t="s">
        <v>189</v>
      </c>
      <c r="F1290" s="359" t="s">
        <v>8</v>
      </c>
      <c r="G1290" s="143"/>
      <c r="H1290" s="143"/>
      <c r="I1290" s="143"/>
    </row>
    <row r="1291" spans="2:9" ht="13.5" thickBot="1" x14ac:dyDescent="0.25">
      <c r="B1291" s="360"/>
      <c r="C1291" s="360"/>
      <c r="D1291" s="360"/>
      <c r="E1291" s="360"/>
      <c r="F1291" s="360"/>
      <c r="G1291" s="143"/>
      <c r="H1291" s="143"/>
      <c r="I1291" s="143"/>
    </row>
    <row r="1292" spans="2:9" ht="24.75" thickBot="1" x14ac:dyDescent="0.25">
      <c r="B1292" s="140" t="s">
        <v>112</v>
      </c>
      <c r="C1292" s="140">
        <v>95468</v>
      </c>
      <c r="D1292" s="135" t="s">
        <v>175</v>
      </c>
      <c r="E1292" s="133" t="s">
        <v>10</v>
      </c>
      <c r="F1292" s="134">
        <f>SUM(F1294:F1299)</f>
        <v>404</v>
      </c>
      <c r="G1292" s="143"/>
      <c r="H1292" s="143"/>
      <c r="I1292" s="143"/>
    </row>
    <row r="1293" spans="2:9" ht="13.5" thickBot="1" x14ac:dyDescent="0.25">
      <c r="B1293" s="157" t="s">
        <v>234</v>
      </c>
      <c r="C1293" s="157"/>
      <c r="D1293" s="157" t="s">
        <v>255</v>
      </c>
      <c r="E1293" s="157" t="s">
        <v>315</v>
      </c>
      <c r="F1293" s="157" t="s">
        <v>300</v>
      </c>
      <c r="G1293" s="349" t="s">
        <v>235</v>
      </c>
      <c r="H1293" s="351"/>
      <c r="I1293" s="350"/>
    </row>
    <row r="1294" spans="2:9" ht="13.5" thickBot="1" x14ac:dyDescent="0.25">
      <c r="B1294" s="158">
        <v>2</v>
      </c>
      <c r="C1294" s="195"/>
      <c r="D1294" s="195">
        <v>15</v>
      </c>
      <c r="E1294" s="195">
        <v>10</v>
      </c>
      <c r="F1294" s="195">
        <f t="shared" ref="F1294:F1299" si="48">B1294*D1294*E1294</f>
        <v>300</v>
      </c>
      <c r="G1294" s="352" t="s">
        <v>378</v>
      </c>
      <c r="H1294" s="353"/>
      <c r="I1294" s="354"/>
    </row>
    <row r="1295" spans="2:9" ht="13.5" thickBot="1" x14ac:dyDescent="0.25">
      <c r="B1295" s="158">
        <v>4</v>
      </c>
      <c r="C1295" s="195"/>
      <c r="D1295" s="195">
        <v>0.8</v>
      </c>
      <c r="E1295" s="195">
        <v>8</v>
      </c>
      <c r="F1295" s="195">
        <f t="shared" si="48"/>
        <v>25.6</v>
      </c>
      <c r="G1295" s="352" t="s">
        <v>305</v>
      </c>
      <c r="H1295" s="353"/>
      <c r="I1295" s="354"/>
    </row>
    <row r="1296" spans="2:9" ht="13.5" thickBot="1" x14ac:dyDescent="0.25">
      <c r="B1296" s="158">
        <v>2</v>
      </c>
      <c r="C1296" s="195"/>
      <c r="D1296" s="195">
        <v>0.8</v>
      </c>
      <c r="E1296" s="195">
        <v>18.2</v>
      </c>
      <c r="F1296" s="195">
        <f t="shared" si="48"/>
        <v>29.12</v>
      </c>
      <c r="G1296" s="352" t="s">
        <v>331</v>
      </c>
      <c r="H1296" s="353"/>
      <c r="I1296" s="354"/>
    </row>
    <row r="1297" spans="2:11" ht="13.5" thickBot="1" x14ac:dyDescent="0.25">
      <c r="B1297" s="158">
        <v>4</v>
      </c>
      <c r="C1297" s="195"/>
      <c r="D1297" s="195">
        <v>4</v>
      </c>
      <c r="E1297" s="195">
        <v>2</v>
      </c>
      <c r="F1297" s="195">
        <f t="shared" si="48"/>
        <v>32</v>
      </c>
      <c r="G1297" s="352" t="s">
        <v>379</v>
      </c>
      <c r="H1297" s="353"/>
      <c r="I1297" s="354"/>
    </row>
    <row r="1298" spans="2:11" ht="13.5" thickBot="1" x14ac:dyDescent="0.25">
      <c r="B1298" s="158">
        <v>2</v>
      </c>
      <c r="C1298" s="195"/>
      <c r="D1298" s="195">
        <v>1.6</v>
      </c>
      <c r="E1298" s="195">
        <v>2.7</v>
      </c>
      <c r="F1298" s="195">
        <f t="shared" si="48"/>
        <v>8.64</v>
      </c>
      <c r="G1298" s="352" t="s">
        <v>380</v>
      </c>
      <c r="H1298" s="353"/>
      <c r="I1298" s="354"/>
    </row>
    <row r="1299" spans="2:11" ht="13.5" thickBot="1" x14ac:dyDescent="0.25">
      <c r="B1299" s="158">
        <v>2</v>
      </c>
      <c r="C1299" s="195"/>
      <c r="D1299" s="195">
        <v>1.6</v>
      </c>
      <c r="E1299" s="195">
        <v>2.7</v>
      </c>
      <c r="F1299" s="195">
        <f t="shared" si="48"/>
        <v>8.64</v>
      </c>
      <c r="G1299" s="352" t="s">
        <v>381</v>
      </c>
      <c r="H1299" s="353"/>
      <c r="I1299" s="354"/>
      <c r="K1299" s="143"/>
    </row>
    <row r="1301" spans="2:11" ht="13.5" thickBot="1" x14ac:dyDescent="0.25"/>
    <row r="1302" spans="2:11" ht="15.75" thickBot="1" x14ac:dyDescent="0.25">
      <c r="B1302" s="145">
        <v>19</v>
      </c>
      <c r="C1302" s="384" t="s">
        <v>7</v>
      </c>
      <c r="D1302" s="384"/>
      <c r="E1302" s="384"/>
      <c r="F1302" s="384"/>
      <c r="G1302" s="384"/>
      <c r="H1302" s="384"/>
      <c r="I1302" s="384"/>
    </row>
    <row r="1304" spans="2:11" ht="13.5" thickBot="1" x14ac:dyDescent="0.25"/>
    <row r="1305" spans="2:11" ht="13.5" thickBot="1" x14ac:dyDescent="0.25">
      <c r="B1305" s="345" t="s">
        <v>0</v>
      </c>
      <c r="C1305" s="345" t="s">
        <v>9</v>
      </c>
      <c r="D1305" s="345" t="s">
        <v>1</v>
      </c>
      <c r="E1305" s="345" t="s">
        <v>189</v>
      </c>
      <c r="F1305" s="345" t="s">
        <v>8</v>
      </c>
      <c r="G1305" s="143"/>
      <c r="H1305" s="143"/>
      <c r="I1305" s="143"/>
    </row>
    <row r="1306" spans="2:11" ht="13.5" thickBot="1" x14ac:dyDescent="0.25">
      <c r="B1306" s="345"/>
      <c r="C1306" s="345"/>
      <c r="D1306" s="345"/>
      <c r="E1306" s="345"/>
      <c r="F1306" s="345"/>
      <c r="G1306" s="143"/>
      <c r="H1306" s="143"/>
      <c r="I1306" s="143"/>
    </row>
    <row r="1307" spans="2:11" ht="36.75" thickBot="1" x14ac:dyDescent="0.25">
      <c r="B1307" s="140" t="s">
        <v>57</v>
      </c>
      <c r="C1307" s="140" t="s">
        <v>540</v>
      </c>
      <c r="D1307" s="135" t="s">
        <v>451</v>
      </c>
      <c r="E1307" s="133" t="s">
        <v>10</v>
      </c>
      <c r="F1307" s="134">
        <f>SUM(F1309:F1309)</f>
        <v>2.54</v>
      </c>
      <c r="G1307" s="143"/>
      <c r="H1307" s="143"/>
      <c r="I1307" s="143"/>
    </row>
    <row r="1308" spans="2:11" ht="13.5" thickBot="1" x14ac:dyDescent="0.25">
      <c r="B1308" s="148" t="s">
        <v>234</v>
      </c>
      <c r="C1308" s="148"/>
      <c r="D1308" s="148" t="s">
        <v>255</v>
      </c>
      <c r="E1308" s="148" t="s">
        <v>315</v>
      </c>
      <c r="F1308" s="148" t="s">
        <v>300</v>
      </c>
      <c r="G1308" s="349" t="s">
        <v>235</v>
      </c>
      <c r="H1308" s="351"/>
      <c r="I1308" s="350"/>
    </row>
    <row r="1309" spans="2:11" ht="13.5" thickBot="1" x14ac:dyDescent="0.25">
      <c r="B1309" s="158"/>
      <c r="C1309" s="144"/>
      <c r="D1309" s="144"/>
      <c r="E1309" s="144"/>
      <c r="F1309" s="144">
        <v>2.54</v>
      </c>
      <c r="G1309" s="352"/>
      <c r="H1309" s="353"/>
      <c r="I1309" s="354"/>
    </row>
    <row r="1310" spans="2:11" ht="13.5" thickBot="1" x14ac:dyDescent="0.25"/>
    <row r="1311" spans="2:11" ht="13.5" thickBot="1" x14ac:dyDescent="0.25">
      <c r="B1311" s="345" t="s">
        <v>0</v>
      </c>
      <c r="C1311" s="345" t="s">
        <v>9</v>
      </c>
      <c r="D1311" s="345" t="s">
        <v>1</v>
      </c>
      <c r="E1311" s="345" t="s">
        <v>189</v>
      </c>
      <c r="F1311" s="345" t="s">
        <v>8</v>
      </c>
      <c r="G1311" s="143"/>
      <c r="H1311" s="143"/>
      <c r="I1311" s="143"/>
    </row>
    <row r="1312" spans="2:11" ht="13.5" thickBot="1" x14ac:dyDescent="0.25">
      <c r="B1312" s="345"/>
      <c r="C1312" s="345"/>
      <c r="D1312" s="345"/>
      <c r="E1312" s="345"/>
      <c r="F1312" s="345"/>
      <c r="G1312" s="143"/>
      <c r="H1312" s="143"/>
      <c r="I1312" s="143"/>
    </row>
    <row r="1313" spans="2:11" ht="24.75" thickBot="1" x14ac:dyDescent="0.25">
      <c r="B1313" s="140" t="s">
        <v>61</v>
      </c>
      <c r="C1313" s="140" t="s">
        <v>544</v>
      </c>
      <c r="D1313" s="135" t="s">
        <v>415</v>
      </c>
      <c r="E1313" s="133" t="s">
        <v>11</v>
      </c>
      <c r="F1313" s="134">
        <f>SUM(F1315:F1315)</f>
        <v>1</v>
      </c>
      <c r="G1313" s="143"/>
      <c r="H1313" s="143"/>
      <c r="I1313" s="143"/>
    </row>
    <row r="1314" spans="2:11" ht="13.5" customHeight="1" thickBot="1" x14ac:dyDescent="0.25">
      <c r="B1314" s="148" t="s">
        <v>234</v>
      </c>
      <c r="C1314" s="148"/>
      <c r="D1314" s="148"/>
      <c r="E1314" s="148"/>
      <c r="F1314" s="148" t="s">
        <v>376</v>
      </c>
      <c r="G1314" s="349" t="s">
        <v>235</v>
      </c>
      <c r="H1314" s="351"/>
      <c r="I1314" s="350"/>
    </row>
    <row r="1315" spans="2:11" ht="13.5" thickBot="1" x14ac:dyDescent="0.25">
      <c r="B1315" s="158">
        <v>1</v>
      </c>
      <c r="C1315" s="144"/>
      <c r="D1315" s="144"/>
      <c r="E1315" s="144"/>
      <c r="F1315" s="144">
        <f>B1315</f>
        <v>1</v>
      </c>
      <c r="G1315" s="352"/>
      <c r="H1315" s="353"/>
      <c r="I1315" s="354"/>
      <c r="K1315" s="143" t="s">
        <v>422</v>
      </c>
    </row>
    <row r="1316" spans="2:11" ht="13.5" thickBot="1" x14ac:dyDescent="0.25"/>
    <row r="1317" spans="2:11" ht="13.5" thickBot="1" x14ac:dyDescent="0.25">
      <c r="B1317" s="345" t="s">
        <v>0</v>
      </c>
      <c r="C1317" s="345" t="s">
        <v>9</v>
      </c>
      <c r="D1317" s="345" t="s">
        <v>1</v>
      </c>
      <c r="E1317" s="345" t="s">
        <v>189</v>
      </c>
      <c r="F1317" s="345" t="s">
        <v>8</v>
      </c>
      <c r="G1317" s="143"/>
      <c r="H1317" s="143"/>
      <c r="I1317" s="143"/>
    </row>
    <row r="1318" spans="2:11" ht="13.5" thickBot="1" x14ac:dyDescent="0.25">
      <c r="B1318" s="345"/>
      <c r="C1318" s="345"/>
      <c r="D1318" s="345"/>
      <c r="E1318" s="345"/>
      <c r="F1318" s="345"/>
      <c r="G1318" s="143"/>
      <c r="H1318" s="143"/>
      <c r="I1318" s="143"/>
    </row>
    <row r="1319" spans="2:11" ht="24.75" thickBot="1" x14ac:dyDescent="0.25">
      <c r="B1319" s="140" t="s">
        <v>62</v>
      </c>
      <c r="C1319" s="140">
        <v>86901</v>
      </c>
      <c r="D1319" s="135" t="s">
        <v>219</v>
      </c>
      <c r="E1319" s="133" t="s">
        <v>11</v>
      </c>
      <c r="F1319" s="134">
        <f>SUM(F1321:F1321)</f>
        <v>1</v>
      </c>
      <c r="G1319" s="143"/>
      <c r="H1319" s="143"/>
      <c r="I1319" s="143"/>
    </row>
    <row r="1320" spans="2:11" ht="13.5" customHeight="1" thickBot="1" x14ac:dyDescent="0.25">
      <c r="B1320" s="148" t="s">
        <v>234</v>
      </c>
      <c r="C1320" s="148"/>
      <c r="D1320" s="148"/>
      <c r="E1320" s="148"/>
      <c r="F1320" s="148" t="s">
        <v>376</v>
      </c>
      <c r="G1320" s="349" t="s">
        <v>235</v>
      </c>
      <c r="H1320" s="351"/>
      <c r="I1320" s="350"/>
    </row>
    <row r="1321" spans="2:11" ht="13.5" thickBot="1" x14ac:dyDescent="0.25">
      <c r="B1321" s="158">
        <v>1</v>
      </c>
      <c r="C1321" s="144"/>
      <c r="D1321" s="144"/>
      <c r="E1321" s="144"/>
      <c r="F1321" s="144">
        <f>B1321</f>
        <v>1</v>
      </c>
      <c r="G1321" s="352"/>
      <c r="H1321" s="353"/>
      <c r="I1321" s="354"/>
      <c r="K1321" s="143" t="s">
        <v>422</v>
      </c>
    </row>
    <row r="1322" spans="2:11" ht="13.5" thickBot="1" x14ac:dyDescent="0.25"/>
    <row r="1323" spans="2:11" ht="13.5" thickBot="1" x14ac:dyDescent="0.25">
      <c r="B1323" s="345" t="s">
        <v>0</v>
      </c>
      <c r="C1323" s="345" t="s">
        <v>9</v>
      </c>
      <c r="D1323" s="345" t="s">
        <v>1</v>
      </c>
      <c r="E1323" s="345" t="s">
        <v>189</v>
      </c>
      <c r="F1323" s="345" t="s">
        <v>8</v>
      </c>
      <c r="G1323" s="143"/>
      <c r="H1323" s="143"/>
      <c r="I1323" s="143"/>
    </row>
    <row r="1324" spans="2:11" ht="13.5" thickBot="1" x14ac:dyDescent="0.25">
      <c r="B1324" s="345"/>
      <c r="C1324" s="345"/>
      <c r="D1324" s="345"/>
      <c r="E1324" s="345"/>
      <c r="F1324" s="345"/>
      <c r="G1324" s="143"/>
      <c r="H1324" s="143"/>
      <c r="I1324" s="143"/>
    </row>
    <row r="1325" spans="2:11" ht="13.5" customHeight="1" thickBot="1" x14ac:dyDescent="0.25">
      <c r="B1325" s="140" t="s">
        <v>86</v>
      </c>
      <c r="C1325" s="140" t="s">
        <v>545</v>
      </c>
      <c r="D1325" s="135" t="s">
        <v>416</v>
      </c>
      <c r="E1325" s="133" t="s">
        <v>11</v>
      </c>
      <c r="F1325" s="134">
        <f>SUM(F1327:F1327)</f>
        <v>1</v>
      </c>
      <c r="G1325" s="143"/>
      <c r="H1325" s="143"/>
      <c r="I1325" s="143"/>
    </row>
    <row r="1326" spans="2:11" ht="13.5" customHeight="1" thickBot="1" x14ac:dyDescent="0.25">
      <c r="B1326" s="148" t="s">
        <v>234</v>
      </c>
      <c r="C1326" s="148"/>
      <c r="D1326" s="148"/>
      <c r="E1326" s="148"/>
      <c r="F1326" s="148" t="s">
        <v>376</v>
      </c>
      <c r="G1326" s="349" t="s">
        <v>235</v>
      </c>
      <c r="H1326" s="351"/>
      <c r="I1326" s="350"/>
    </row>
    <row r="1327" spans="2:11" ht="13.5" thickBot="1" x14ac:dyDescent="0.25">
      <c r="B1327" s="158">
        <v>1</v>
      </c>
      <c r="C1327" s="144"/>
      <c r="D1327" s="144"/>
      <c r="E1327" s="144"/>
      <c r="F1327" s="144">
        <f>B1327</f>
        <v>1</v>
      </c>
      <c r="G1327" s="352"/>
      <c r="H1327" s="353"/>
      <c r="I1327" s="354"/>
      <c r="K1327" s="143" t="s">
        <v>422</v>
      </c>
    </row>
    <row r="1328" spans="2:11" ht="13.5" thickBot="1" x14ac:dyDescent="0.25"/>
    <row r="1329" spans="2:11" ht="13.5" thickBot="1" x14ac:dyDescent="0.25">
      <c r="B1329" s="345" t="s">
        <v>0</v>
      </c>
      <c r="C1329" s="345" t="s">
        <v>9</v>
      </c>
      <c r="D1329" s="345" t="s">
        <v>1</v>
      </c>
      <c r="E1329" s="345" t="s">
        <v>189</v>
      </c>
      <c r="F1329" s="345" t="s">
        <v>8</v>
      </c>
      <c r="G1329" s="143"/>
      <c r="H1329" s="143"/>
      <c r="I1329" s="143"/>
    </row>
    <row r="1330" spans="2:11" ht="13.5" thickBot="1" x14ac:dyDescent="0.25">
      <c r="B1330" s="345"/>
      <c r="C1330" s="345"/>
      <c r="D1330" s="345"/>
      <c r="E1330" s="345"/>
      <c r="F1330" s="345"/>
      <c r="G1330" s="143"/>
      <c r="H1330" s="143"/>
      <c r="I1330" s="143"/>
    </row>
    <row r="1331" spans="2:11" ht="13.5" thickBot="1" x14ac:dyDescent="0.25">
      <c r="B1331" s="140" t="s">
        <v>90</v>
      </c>
      <c r="C1331" s="140">
        <v>95544</v>
      </c>
      <c r="D1331" s="135" t="s">
        <v>429</v>
      </c>
      <c r="E1331" s="133" t="s">
        <v>11</v>
      </c>
      <c r="F1331" s="134">
        <f>SUM(F1333:F1333)</f>
        <v>1</v>
      </c>
      <c r="G1331" s="143"/>
      <c r="H1331" s="143"/>
      <c r="I1331" s="143"/>
    </row>
    <row r="1332" spans="2:11" ht="13.5" thickBot="1" x14ac:dyDescent="0.25">
      <c r="B1332" s="148" t="s">
        <v>234</v>
      </c>
      <c r="C1332" s="148"/>
      <c r="D1332" s="135"/>
      <c r="E1332" s="148"/>
      <c r="F1332" s="148" t="s">
        <v>376</v>
      </c>
      <c r="G1332" s="349" t="s">
        <v>235</v>
      </c>
      <c r="H1332" s="351"/>
      <c r="I1332" s="350"/>
    </row>
    <row r="1333" spans="2:11" ht="13.5" thickBot="1" x14ac:dyDescent="0.25">
      <c r="B1333" s="158">
        <v>1</v>
      </c>
      <c r="C1333" s="144"/>
      <c r="D1333" s="144"/>
      <c r="E1333" s="144"/>
      <c r="F1333" s="144">
        <f>B1333</f>
        <v>1</v>
      </c>
      <c r="G1333" s="352"/>
      <c r="H1333" s="353"/>
      <c r="I1333" s="354"/>
      <c r="K1333" s="143" t="s">
        <v>427</v>
      </c>
    </row>
    <row r="1334" spans="2:11" ht="13.5" thickBot="1" x14ac:dyDescent="0.25"/>
    <row r="1335" spans="2:11" ht="13.5" thickBot="1" x14ac:dyDescent="0.25">
      <c r="B1335" s="345" t="s">
        <v>0</v>
      </c>
      <c r="C1335" s="345" t="s">
        <v>9</v>
      </c>
      <c r="D1335" s="345" t="s">
        <v>1</v>
      </c>
      <c r="E1335" s="345" t="s">
        <v>189</v>
      </c>
      <c r="F1335" s="345" t="s">
        <v>8</v>
      </c>
      <c r="G1335" s="143"/>
      <c r="H1335" s="143"/>
      <c r="I1335" s="143"/>
    </row>
    <row r="1336" spans="2:11" ht="13.5" thickBot="1" x14ac:dyDescent="0.25">
      <c r="B1336" s="345"/>
      <c r="C1336" s="345"/>
      <c r="D1336" s="345"/>
      <c r="E1336" s="345"/>
      <c r="F1336" s="345"/>
      <c r="G1336" s="143"/>
      <c r="H1336" s="143"/>
      <c r="I1336" s="143"/>
    </row>
    <row r="1337" spans="2:11" ht="13.5" thickBot="1" x14ac:dyDescent="0.25">
      <c r="B1337" s="140" t="s">
        <v>160</v>
      </c>
      <c r="C1337" s="140" t="s">
        <v>546</v>
      </c>
      <c r="D1337" s="135" t="s">
        <v>430</v>
      </c>
      <c r="E1337" s="133" t="s">
        <v>11</v>
      </c>
      <c r="F1337" s="134">
        <f>SUM(F1339:F1339)</f>
        <v>1</v>
      </c>
      <c r="G1337" s="143"/>
      <c r="H1337" s="143"/>
      <c r="I1337" s="143"/>
    </row>
    <row r="1338" spans="2:11" ht="13.5" customHeight="1" thickBot="1" x14ac:dyDescent="0.25">
      <c r="B1338" s="148" t="s">
        <v>234</v>
      </c>
      <c r="C1338" s="148"/>
      <c r="D1338" s="135"/>
      <c r="E1338" s="148"/>
      <c r="F1338" s="148" t="s">
        <v>376</v>
      </c>
      <c r="G1338" s="349" t="s">
        <v>235</v>
      </c>
      <c r="H1338" s="351"/>
      <c r="I1338" s="350"/>
    </row>
    <row r="1339" spans="2:11" ht="15.75" customHeight="1" thickBot="1" x14ac:dyDescent="0.25">
      <c r="B1339" s="158">
        <v>1</v>
      </c>
      <c r="C1339" s="144"/>
      <c r="D1339" s="144"/>
      <c r="E1339" s="144"/>
      <c r="F1339" s="144">
        <f>B1339</f>
        <v>1</v>
      </c>
      <c r="G1339" s="352"/>
      <c r="H1339" s="353"/>
      <c r="I1339" s="354"/>
      <c r="K1339" s="143" t="s">
        <v>427</v>
      </c>
    </row>
    <row r="1340" spans="2:11" ht="15.75" customHeight="1" thickBot="1" x14ac:dyDescent="0.25"/>
    <row r="1341" spans="2:11" ht="13.5" thickBot="1" x14ac:dyDescent="0.25">
      <c r="B1341" s="345" t="s">
        <v>0</v>
      </c>
      <c r="C1341" s="345" t="s">
        <v>9</v>
      </c>
      <c r="D1341" s="345" t="s">
        <v>1</v>
      </c>
      <c r="E1341" s="345" t="s">
        <v>189</v>
      </c>
      <c r="F1341" s="345" t="s">
        <v>8</v>
      </c>
      <c r="G1341" s="143"/>
      <c r="H1341" s="143"/>
      <c r="I1341" s="143"/>
    </row>
    <row r="1342" spans="2:11" ht="13.5" thickBot="1" x14ac:dyDescent="0.25">
      <c r="B1342" s="345"/>
      <c r="C1342" s="345"/>
      <c r="D1342" s="345"/>
      <c r="E1342" s="345"/>
      <c r="F1342" s="345"/>
      <c r="G1342" s="143"/>
      <c r="H1342" s="143"/>
      <c r="I1342" s="143"/>
    </row>
    <row r="1343" spans="2:11" ht="13.5" thickBot="1" x14ac:dyDescent="0.25">
      <c r="B1343" s="140" t="s">
        <v>161</v>
      </c>
      <c r="C1343" s="140" t="s">
        <v>547</v>
      </c>
      <c r="D1343" s="135" t="s">
        <v>431</v>
      </c>
      <c r="E1343" s="133" t="s">
        <v>11</v>
      </c>
      <c r="F1343" s="134">
        <f>SUM(F1345:F1345)</f>
        <v>1</v>
      </c>
      <c r="G1343" s="143"/>
      <c r="H1343" s="143"/>
      <c r="I1343" s="143"/>
    </row>
    <row r="1344" spans="2:11" ht="13.5" customHeight="1" thickBot="1" x14ac:dyDescent="0.25">
      <c r="B1344" s="148" t="s">
        <v>234</v>
      </c>
      <c r="C1344" s="148"/>
      <c r="D1344" s="135"/>
      <c r="E1344" s="148"/>
      <c r="F1344" s="148" t="s">
        <v>376</v>
      </c>
      <c r="G1344" s="349" t="s">
        <v>235</v>
      </c>
      <c r="H1344" s="351"/>
      <c r="I1344" s="350"/>
      <c r="K1344" s="143" t="s">
        <v>427</v>
      </c>
    </row>
    <row r="1345" spans="2:11" ht="13.5" thickBot="1" x14ac:dyDescent="0.25">
      <c r="B1345" s="158">
        <v>1</v>
      </c>
      <c r="C1345" s="144"/>
      <c r="D1345" s="144"/>
      <c r="E1345" s="144"/>
      <c r="F1345" s="144">
        <f>B1345</f>
        <v>1</v>
      </c>
      <c r="G1345" s="352"/>
      <c r="H1345" s="353"/>
      <c r="I1345" s="354"/>
    </row>
    <row r="1346" spans="2:11" ht="13.5" thickBot="1" x14ac:dyDescent="0.25"/>
    <row r="1347" spans="2:11" ht="13.5" thickBot="1" x14ac:dyDescent="0.25">
      <c r="B1347" s="345" t="s">
        <v>0</v>
      </c>
      <c r="C1347" s="345" t="s">
        <v>9</v>
      </c>
      <c r="D1347" s="345" t="s">
        <v>1</v>
      </c>
      <c r="E1347" s="345" t="s">
        <v>189</v>
      </c>
      <c r="F1347" s="345" t="s">
        <v>8</v>
      </c>
      <c r="G1347" s="143"/>
      <c r="H1347" s="143"/>
      <c r="I1347" s="143"/>
    </row>
    <row r="1348" spans="2:11" ht="13.5" thickBot="1" x14ac:dyDescent="0.25">
      <c r="B1348" s="345"/>
      <c r="C1348" s="345"/>
      <c r="D1348" s="345"/>
      <c r="E1348" s="345"/>
      <c r="F1348" s="345"/>
      <c r="G1348" s="143"/>
      <c r="H1348" s="143"/>
      <c r="I1348" s="143"/>
    </row>
    <row r="1349" spans="2:11" ht="13.5" thickBot="1" x14ac:dyDescent="0.25">
      <c r="B1349" s="140" t="s">
        <v>162</v>
      </c>
      <c r="C1349" s="140">
        <v>86882</v>
      </c>
      <c r="D1349" s="135" t="s">
        <v>417</v>
      </c>
      <c r="E1349" s="133" t="s">
        <v>11</v>
      </c>
      <c r="F1349" s="134">
        <f>SUM(F1351:F1351)</f>
        <v>1</v>
      </c>
      <c r="G1349" s="143"/>
      <c r="H1349" s="143"/>
      <c r="I1349" s="143"/>
    </row>
    <row r="1350" spans="2:11" ht="15.75" customHeight="1" thickBot="1" x14ac:dyDescent="0.25">
      <c r="B1350" s="148" t="s">
        <v>234</v>
      </c>
      <c r="C1350" s="148"/>
      <c r="D1350" s="148"/>
      <c r="E1350" s="148"/>
      <c r="F1350" s="148" t="s">
        <v>376</v>
      </c>
      <c r="G1350" s="349" t="s">
        <v>235</v>
      </c>
      <c r="H1350" s="351"/>
      <c r="I1350" s="350"/>
    </row>
    <row r="1351" spans="2:11" ht="15.75" customHeight="1" thickBot="1" x14ac:dyDescent="0.25">
      <c r="B1351" s="158">
        <v>1</v>
      </c>
      <c r="C1351" s="144"/>
      <c r="D1351" s="144"/>
      <c r="E1351" s="144"/>
      <c r="F1351" s="144">
        <f>B1351</f>
        <v>1</v>
      </c>
      <c r="G1351" s="352"/>
      <c r="H1351" s="353"/>
      <c r="I1351" s="354"/>
      <c r="K1351" s="143" t="s">
        <v>422</v>
      </c>
    </row>
    <row r="1352" spans="2:11" ht="15.75" customHeight="1" thickBot="1" x14ac:dyDescent="0.25"/>
    <row r="1353" spans="2:11" ht="15.75" customHeight="1" thickBot="1" x14ac:dyDescent="0.25">
      <c r="B1353" s="345" t="s">
        <v>0</v>
      </c>
      <c r="C1353" s="345" t="s">
        <v>9</v>
      </c>
      <c r="D1353" s="345" t="s">
        <v>1</v>
      </c>
      <c r="E1353" s="345" t="s">
        <v>189</v>
      </c>
      <c r="F1353" s="345" t="s">
        <v>8</v>
      </c>
      <c r="G1353" s="143"/>
      <c r="H1353" s="143"/>
      <c r="I1353" s="143"/>
    </row>
    <row r="1354" spans="2:11" ht="15.75" customHeight="1" thickBot="1" x14ac:dyDescent="0.25">
      <c r="B1354" s="345"/>
      <c r="C1354" s="345"/>
      <c r="D1354" s="345"/>
      <c r="E1354" s="345"/>
      <c r="F1354" s="345"/>
      <c r="G1354" s="143"/>
      <c r="H1354" s="143"/>
      <c r="I1354" s="143"/>
    </row>
    <row r="1355" spans="2:11" ht="24.75" thickBot="1" x14ac:dyDescent="0.25">
      <c r="B1355" s="140" t="s">
        <v>163</v>
      </c>
      <c r="C1355" s="140" t="s">
        <v>548</v>
      </c>
      <c r="D1355" s="135" t="s">
        <v>418</v>
      </c>
      <c r="E1355" s="133" t="s">
        <v>11</v>
      </c>
      <c r="F1355" s="134">
        <f>SUM(F1357:F1357)</f>
        <v>1</v>
      </c>
      <c r="G1355" s="143"/>
      <c r="H1355" s="143"/>
      <c r="I1355" s="143"/>
    </row>
    <row r="1356" spans="2:11" ht="13.5" customHeight="1" thickBot="1" x14ac:dyDescent="0.25">
      <c r="B1356" s="148" t="s">
        <v>234</v>
      </c>
      <c r="C1356" s="148"/>
      <c r="D1356" s="148"/>
      <c r="E1356" s="148"/>
      <c r="F1356" s="148" t="s">
        <v>376</v>
      </c>
      <c r="G1356" s="349" t="s">
        <v>235</v>
      </c>
      <c r="H1356" s="351"/>
      <c r="I1356" s="350"/>
    </row>
    <row r="1357" spans="2:11" ht="13.5" thickBot="1" x14ac:dyDescent="0.25">
      <c r="B1357" s="158">
        <v>1</v>
      </c>
      <c r="C1357" s="144"/>
      <c r="D1357" s="144"/>
      <c r="E1357" s="144"/>
      <c r="F1357" s="144">
        <f>B1357</f>
        <v>1</v>
      </c>
      <c r="G1357" s="352"/>
      <c r="H1357" s="353"/>
      <c r="I1357" s="354"/>
      <c r="K1357" s="143" t="s">
        <v>422</v>
      </c>
    </row>
    <row r="1358" spans="2:11" ht="13.5" thickBot="1" x14ac:dyDescent="0.25"/>
    <row r="1359" spans="2:11" ht="13.5" thickBot="1" x14ac:dyDescent="0.25">
      <c r="B1359" s="345" t="s">
        <v>0</v>
      </c>
      <c r="C1359" s="345" t="s">
        <v>9</v>
      </c>
      <c r="D1359" s="345" t="s">
        <v>1</v>
      </c>
      <c r="E1359" s="345" t="s">
        <v>189</v>
      </c>
      <c r="F1359" s="345" t="s">
        <v>8</v>
      </c>
      <c r="G1359" s="143"/>
      <c r="H1359" s="143"/>
      <c r="I1359" s="143"/>
    </row>
    <row r="1360" spans="2:11" ht="13.5" thickBot="1" x14ac:dyDescent="0.25">
      <c r="B1360" s="345"/>
      <c r="C1360" s="345"/>
      <c r="D1360" s="345"/>
      <c r="E1360" s="345"/>
      <c r="F1360" s="345"/>
      <c r="G1360" s="143"/>
      <c r="H1360" s="143"/>
      <c r="I1360" s="143"/>
    </row>
    <row r="1361" spans="2:11" ht="13.5" thickBot="1" x14ac:dyDescent="0.25">
      <c r="B1361" s="140" t="s">
        <v>164</v>
      </c>
      <c r="C1361" s="140" t="s">
        <v>549</v>
      </c>
      <c r="D1361" s="135" t="s">
        <v>419</v>
      </c>
      <c r="E1361" s="133" t="s">
        <v>11</v>
      </c>
      <c r="F1361" s="134">
        <f>SUM(F1363:F1363)</f>
        <v>1</v>
      </c>
      <c r="G1361" s="143"/>
      <c r="H1361" s="143"/>
      <c r="I1361" s="143"/>
    </row>
    <row r="1362" spans="2:11" ht="13.5" customHeight="1" thickBot="1" x14ac:dyDescent="0.25">
      <c r="B1362" s="148" t="s">
        <v>234</v>
      </c>
      <c r="C1362" s="148"/>
      <c r="D1362" s="148"/>
      <c r="E1362" s="148"/>
      <c r="F1362" s="148" t="s">
        <v>376</v>
      </c>
      <c r="G1362" s="349" t="s">
        <v>235</v>
      </c>
      <c r="H1362" s="351"/>
      <c r="I1362" s="350"/>
    </row>
    <row r="1363" spans="2:11" ht="13.5" thickBot="1" x14ac:dyDescent="0.25">
      <c r="B1363" s="158">
        <v>1</v>
      </c>
      <c r="C1363" s="144"/>
      <c r="D1363" s="144"/>
      <c r="E1363" s="144"/>
      <c r="F1363" s="144">
        <f>B1363</f>
        <v>1</v>
      </c>
      <c r="G1363" s="352"/>
      <c r="H1363" s="353"/>
      <c r="I1363" s="354"/>
      <c r="K1363" s="143" t="s">
        <v>422</v>
      </c>
    </row>
    <row r="1364" spans="2:11" ht="13.5" thickBot="1" x14ac:dyDescent="0.25"/>
    <row r="1365" spans="2:11" ht="13.5" thickBot="1" x14ac:dyDescent="0.25">
      <c r="B1365" s="345" t="s">
        <v>0</v>
      </c>
      <c r="C1365" s="345" t="s">
        <v>9</v>
      </c>
      <c r="D1365" s="345" t="s">
        <v>1</v>
      </c>
      <c r="E1365" s="345" t="s">
        <v>189</v>
      </c>
      <c r="F1365" s="345" t="s">
        <v>8</v>
      </c>
      <c r="G1365" s="143"/>
      <c r="H1365" s="143"/>
      <c r="I1365" s="143"/>
    </row>
    <row r="1366" spans="2:11" ht="13.5" thickBot="1" x14ac:dyDescent="0.25">
      <c r="B1366" s="345"/>
      <c r="C1366" s="345"/>
      <c r="D1366" s="345"/>
      <c r="E1366" s="345"/>
      <c r="F1366" s="345"/>
      <c r="G1366" s="143"/>
      <c r="H1366" s="143"/>
      <c r="I1366" s="143"/>
    </row>
    <row r="1367" spans="2:11" ht="24.75" thickBot="1" x14ac:dyDescent="0.25">
      <c r="B1367" s="140" t="s">
        <v>165</v>
      </c>
      <c r="C1367" s="140" t="s">
        <v>550</v>
      </c>
      <c r="D1367" s="135" t="s">
        <v>420</v>
      </c>
      <c r="E1367" s="133" t="s">
        <v>11</v>
      </c>
      <c r="F1367" s="134">
        <f>SUM(F1369:F1369)</f>
        <v>1</v>
      </c>
      <c r="G1367" s="143"/>
      <c r="H1367" s="143"/>
      <c r="I1367" s="143"/>
    </row>
    <row r="1368" spans="2:11" ht="13.5" customHeight="1" thickBot="1" x14ac:dyDescent="0.25">
      <c r="B1368" s="148" t="s">
        <v>234</v>
      </c>
      <c r="C1368" s="148"/>
      <c r="D1368" s="148"/>
      <c r="E1368" s="148"/>
      <c r="F1368" s="148" t="s">
        <v>376</v>
      </c>
      <c r="G1368" s="349" t="s">
        <v>235</v>
      </c>
      <c r="H1368" s="351"/>
      <c r="I1368" s="350"/>
    </row>
    <row r="1369" spans="2:11" ht="13.5" thickBot="1" x14ac:dyDescent="0.25">
      <c r="B1369" s="158">
        <v>1</v>
      </c>
      <c r="C1369" s="144"/>
      <c r="D1369" s="144"/>
      <c r="E1369" s="144"/>
      <c r="F1369" s="144">
        <f>B1369</f>
        <v>1</v>
      </c>
      <c r="G1369" s="352"/>
      <c r="H1369" s="353"/>
      <c r="I1369" s="354"/>
      <c r="K1369" s="143" t="s">
        <v>422</v>
      </c>
    </row>
    <row r="1370" spans="2:11" ht="13.5" thickBot="1" x14ac:dyDescent="0.25"/>
    <row r="1371" spans="2:11" ht="13.5" thickBot="1" x14ac:dyDescent="0.25">
      <c r="B1371" s="345" t="s">
        <v>0</v>
      </c>
      <c r="C1371" s="345" t="s">
        <v>9</v>
      </c>
      <c r="D1371" s="345" t="s">
        <v>1</v>
      </c>
      <c r="E1371" s="345" t="s">
        <v>189</v>
      </c>
      <c r="F1371" s="345" t="s">
        <v>8</v>
      </c>
      <c r="G1371" s="143"/>
      <c r="H1371" s="143"/>
      <c r="I1371" s="143"/>
    </row>
    <row r="1372" spans="2:11" ht="13.5" thickBot="1" x14ac:dyDescent="0.25">
      <c r="B1372" s="345"/>
      <c r="C1372" s="345"/>
      <c r="D1372" s="345"/>
      <c r="E1372" s="345"/>
      <c r="F1372" s="345"/>
      <c r="G1372" s="143"/>
      <c r="H1372" s="143"/>
      <c r="I1372" s="143"/>
    </row>
    <row r="1373" spans="2:11" ht="13.5" thickBot="1" x14ac:dyDescent="0.25">
      <c r="B1373" s="140" t="s">
        <v>166</v>
      </c>
      <c r="C1373" s="140" t="s">
        <v>551</v>
      </c>
      <c r="D1373" s="135" t="s">
        <v>421</v>
      </c>
      <c r="E1373" s="133" t="s">
        <v>11</v>
      </c>
      <c r="F1373" s="134">
        <f>SUM(F1375:F1375)</f>
        <v>1</v>
      </c>
      <c r="G1373" s="143"/>
      <c r="H1373" s="143"/>
      <c r="I1373" s="143"/>
    </row>
    <row r="1374" spans="2:11" ht="13.5" customHeight="1" thickBot="1" x14ac:dyDescent="0.25">
      <c r="B1374" s="148" t="s">
        <v>234</v>
      </c>
      <c r="C1374" s="148"/>
      <c r="D1374" s="148"/>
      <c r="E1374" s="148"/>
      <c r="F1374" s="148" t="s">
        <v>376</v>
      </c>
      <c r="G1374" s="349" t="s">
        <v>235</v>
      </c>
      <c r="H1374" s="351"/>
      <c r="I1374" s="350"/>
    </row>
    <row r="1375" spans="2:11" ht="13.5" thickBot="1" x14ac:dyDescent="0.25">
      <c r="B1375" s="158">
        <v>1</v>
      </c>
      <c r="C1375" s="144"/>
      <c r="D1375" s="144"/>
      <c r="E1375" s="144"/>
      <c r="F1375" s="144">
        <f>B1375</f>
        <v>1</v>
      </c>
      <c r="G1375" s="352"/>
      <c r="H1375" s="353"/>
      <c r="I1375" s="354"/>
      <c r="K1375" s="143" t="s">
        <v>422</v>
      </c>
    </row>
    <row r="1376" spans="2:11" ht="13.5" thickBot="1" x14ac:dyDescent="0.25"/>
    <row r="1377" spans="2:9" ht="13.5" thickBot="1" x14ac:dyDescent="0.25">
      <c r="B1377" s="345" t="s">
        <v>0</v>
      </c>
      <c r="C1377" s="345" t="s">
        <v>9</v>
      </c>
      <c r="D1377" s="345" t="s">
        <v>1</v>
      </c>
      <c r="E1377" s="345" t="s">
        <v>189</v>
      </c>
      <c r="F1377" s="345" t="s">
        <v>8</v>
      </c>
      <c r="G1377" s="143"/>
      <c r="H1377" s="143"/>
      <c r="I1377" s="143"/>
    </row>
    <row r="1378" spans="2:9" ht="13.5" thickBot="1" x14ac:dyDescent="0.25">
      <c r="B1378" s="345"/>
      <c r="C1378" s="345"/>
      <c r="D1378" s="345"/>
      <c r="E1378" s="345"/>
      <c r="F1378" s="345"/>
      <c r="G1378" s="143"/>
      <c r="H1378" s="143"/>
      <c r="I1378" s="143"/>
    </row>
    <row r="1379" spans="2:9" ht="24.75" thickBot="1" x14ac:dyDescent="0.25">
      <c r="B1379" s="140" t="s">
        <v>179</v>
      </c>
      <c r="C1379" s="140">
        <v>86888</v>
      </c>
      <c r="D1379" s="135" t="s">
        <v>452</v>
      </c>
      <c r="E1379" s="133" t="s">
        <v>10</v>
      </c>
      <c r="F1379" s="134">
        <f>SUM(F1381)</f>
        <v>1</v>
      </c>
      <c r="G1379" s="143"/>
      <c r="H1379" s="143"/>
      <c r="I1379" s="143"/>
    </row>
    <row r="1380" spans="2:9" ht="13.5" thickBot="1" x14ac:dyDescent="0.25">
      <c r="B1380" s="148" t="s">
        <v>234</v>
      </c>
      <c r="C1380" s="148"/>
      <c r="D1380" s="148"/>
      <c r="E1380" s="148"/>
      <c r="F1380" s="148" t="s">
        <v>376</v>
      </c>
      <c r="G1380" s="349" t="s">
        <v>235</v>
      </c>
      <c r="H1380" s="351"/>
      <c r="I1380" s="350"/>
    </row>
    <row r="1381" spans="2:9" ht="13.5" thickBot="1" x14ac:dyDescent="0.25">
      <c r="B1381" s="158">
        <v>1</v>
      </c>
      <c r="C1381" s="144"/>
      <c r="D1381" s="144"/>
      <c r="E1381" s="144"/>
      <c r="F1381" s="144">
        <v>1</v>
      </c>
      <c r="G1381" s="352"/>
      <c r="H1381" s="353"/>
      <c r="I1381" s="354"/>
    </row>
    <row r="1382" spans="2:9" ht="13.5" thickBot="1" x14ac:dyDescent="0.25"/>
    <row r="1383" spans="2:9" ht="13.5" thickBot="1" x14ac:dyDescent="0.25">
      <c r="B1383" s="345" t="s">
        <v>0</v>
      </c>
      <c r="C1383" s="345" t="s">
        <v>9</v>
      </c>
      <c r="D1383" s="345" t="s">
        <v>1</v>
      </c>
      <c r="E1383" s="345" t="s">
        <v>189</v>
      </c>
      <c r="F1383" s="345" t="s">
        <v>8</v>
      </c>
      <c r="G1383" s="143"/>
      <c r="H1383" s="143"/>
      <c r="I1383" s="143"/>
    </row>
    <row r="1384" spans="2:9" ht="13.5" thickBot="1" x14ac:dyDescent="0.25">
      <c r="B1384" s="345"/>
      <c r="C1384" s="345"/>
      <c r="D1384" s="345"/>
      <c r="E1384" s="345"/>
      <c r="F1384" s="345"/>
      <c r="G1384" s="143"/>
      <c r="H1384" s="143"/>
      <c r="I1384" s="143"/>
    </row>
    <row r="1385" spans="2:9" ht="24.75" thickBot="1" x14ac:dyDescent="0.25">
      <c r="B1385" s="140" t="s">
        <v>180</v>
      </c>
      <c r="C1385" s="140" t="s">
        <v>552</v>
      </c>
      <c r="D1385" s="135" t="s">
        <v>453</v>
      </c>
      <c r="E1385" s="133" t="s">
        <v>10</v>
      </c>
      <c r="F1385" s="134">
        <f>SUM(F1387:F1387)</f>
        <v>1</v>
      </c>
      <c r="G1385" s="143"/>
      <c r="H1385" s="143"/>
      <c r="I1385" s="143"/>
    </row>
    <row r="1386" spans="2:9" ht="13.5" thickBot="1" x14ac:dyDescent="0.25">
      <c r="B1386" s="148" t="s">
        <v>234</v>
      </c>
      <c r="C1386" s="148"/>
      <c r="D1386" s="148"/>
      <c r="E1386" s="148"/>
      <c r="F1386" s="148" t="s">
        <v>376</v>
      </c>
      <c r="G1386" s="349" t="s">
        <v>235</v>
      </c>
      <c r="H1386" s="351"/>
      <c r="I1386" s="350"/>
    </row>
    <row r="1387" spans="2:9" ht="13.5" thickBot="1" x14ac:dyDescent="0.25">
      <c r="B1387" s="158">
        <v>1</v>
      </c>
      <c r="C1387" s="144"/>
      <c r="D1387" s="144"/>
      <c r="E1387" s="144"/>
      <c r="F1387" s="144">
        <v>1</v>
      </c>
      <c r="G1387" s="352"/>
      <c r="H1387" s="353"/>
      <c r="I1387" s="354"/>
    </row>
    <row r="1388" spans="2:9" ht="13.5" thickBot="1" x14ac:dyDescent="0.25"/>
    <row r="1389" spans="2:9" ht="13.5" thickBot="1" x14ac:dyDescent="0.25">
      <c r="B1389" s="345" t="s">
        <v>0</v>
      </c>
      <c r="C1389" s="345" t="s">
        <v>9</v>
      </c>
      <c r="D1389" s="345" t="s">
        <v>1</v>
      </c>
      <c r="E1389" s="345" t="s">
        <v>189</v>
      </c>
      <c r="F1389" s="345" t="s">
        <v>8</v>
      </c>
      <c r="G1389" s="143"/>
      <c r="H1389" s="143"/>
      <c r="I1389" s="143"/>
    </row>
    <row r="1390" spans="2:9" ht="13.5" thickBot="1" x14ac:dyDescent="0.25">
      <c r="B1390" s="345"/>
      <c r="C1390" s="345"/>
      <c r="D1390" s="345"/>
      <c r="E1390" s="345"/>
      <c r="F1390" s="345"/>
      <c r="G1390" s="143"/>
      <c r="H1390" s="143"/>
      <c r="I1390" s="143"/>
    </row>
    <row r="1391" spans="2:9" ht="24.75" thickBot="1" x14ac:dyDescent="0.25">
      <c r="B1391" s="140" t="s">
        <v>220</v>
      </c>
      <c r="C1391" s="140" t="s">
        <v>553</v>
      </c>
      <c r="D1391" s="135" t="s">
        <v>455</v>
      </c>
      <c r="E1391" s="133" t="s">
        <v>10</v>
      </c>
      <c r="F1391" s="134">
        <f>SUM(F1393:F1393)</f>
        <v>1</v>
      </c>
      <c r="G1391" s="143"/>
      <c r="H1391" s="143"/>
      <c r="I1391" s="143"/>
    </row>
    <row r="1392" spans="2:9" ht="13.5" thickBot="1" x14ac:dyDescent="0.25">
      <c r="B1392" s="205" t="s">
        <v>234</v>
      </c>
      <c r="C1392" s="205"/>
      <c r="D1392" s="205"/>
      <c r="E1392" s="205"/>
      <c r="F1392" s="205" t="s">
        <v>376</v>
      </c>
      <c r="G1392" s="349" t="s">
        <v>235</v>
      </c>
      <c r="H1392" s="351"/>
      <c r="I1392" s="350"/>
    </row>
    <row r="1393" spans="2:9" ht="13.5" thickBot="1" x14ac:dyDescent="0.25">
      <c r="B1393" s="158">
        <v>1</v>
      </c>
      <c r="C1393" s="204"/>
      <c r="D1393" s="204"/>
      <c r="E1393" s="204"/>
      <c r="F1393" s="204">
        <v>1</v>
      </c>
      <c r="G1393" s="352"/>
      <c r="H1393" s="353"/>
      <c r="I1393" s="354"/>
    </row>
    <row r="1395" spans="2:9" ht="13.5" thickBot="1" x14ac:dyDescent="0.25"/>
    <row r="1396" spans="2:9" ht="15.75" thickBot="1" x14ac:dyDescent="0.25">
      <c r="B1396" s="145">
        <v>20</v>
      </c>
      <c r="C1396" s="384" t="s">
        <v>25</v>
      </c>
      <c r="D1396" s="384"/>
      <c r="E1396" s="384"/>
      <c r="F1396" s="384"/>
      <c r="G1396" s="384"/>
      <c r="H1396" s="384"/>
      <c r="I1396" s="384"/>
    </row>
    <row r="1398" spans="2:9" ht="13.5" thickBot="1" x14ac:dyDescent="0.25"/>
    <row r="1399" spans="2:9" ht="13.5" thickBot="1" x14ac:dyDescent="0.25">
      <c r="B1399" s="345" t="s">
        <v>0</v>
      </c>
      <c r="C1399" s="345" t="s">
        <v>9</v>
      </c>
      <c r="D1399" s="345" t="s">
        <v>1</v>
      </c>
      <c r="E1399" s="345" t="s">
        <v>189</v>
      </c>
      <c r="F1399" s="345" t="s">
        <v>8</v>
      </c>
      <c r="G1399" s="143"/>
      <c r="H1399" s="143"/>
      <c r="I1399" s="143"/>
    </row>
    <row r="1400" spans="2:9" ht="13.5" thickBot="1" x14ac:dyDescent="0.25">
      <c r="B1400" s="345"/>
      <c r="C1400" s="345"/>
      <c r="D1400" s="345"/>
      <c r="E1400" s="345"/>
      <c r="F1400" s="345"/>
      <c r="G1400" s="143"/>
      <c r="H1400" s="143"/>
      <c r="I1400" s="143"/>
    </row>
    <row r="1401" spans="2:9" ht="48.75" thickBot="1" x14ac:dyDescent="0.25">
      <c r="B1401" s="140" t="s">
        <v>60</v>
      </c>
      <c r="C1401" s="138"/>
      <c r="D1401" s="135" t="s">
        <v>176</v>
      </c>
      <c r="E1401" s="133" t="s">
        <v>10</v>
      </c>
      <c r="F1401" s="134"/>
      <c r="G1401" s="143"/>
      <c r="H1401" s="143"/>
      <c r="I1401" s="143"/>
    </row>
    <row r="1402" spans="2:9" ht="13.5" thickBot="1" x14ac:dyDescent="0.25">
      <c r="B1402" s="148" t="s">
        <v>234</v>
      </c>
      <c r="C1402" s="148"/>
      <c r="D1402" s="148" t="s">
        <v>255</v>
      </c>
      <c r="E1402" s="148" t="s">
        <v>315</v>
      </c>
      <c r="F1402" s="148" t="s">
        <v>300</v>
      </c>
      <c r="G1402" s="349" t="s">
        <v>235</v>
      </c>
      <c r="H1402" s="351"/>
      <c r="I1402" s="350"/>
    </row>
    <row r="1403" spans="2:9" ht="13.5" thickBot="1" x14ac:dyDescent="0.25">
      <c r="B1403" s="168"/>
      <c r="C1403" s="164"/>
      <c r="D1403" s="164"/>
      <c r="E1403" s="164"/>
      <c r="F1403" s="164"/>
      <c r="G1403" s="381"/>
      <c r="H1403" s="382"/>
      <c r="I1403" s="383"/>
    </row>
    <row r="1404" spans="2:9" ht="13.5" thickBot="1" x14ac:dyDescent="0.25">
      <c r="B1404" s="168"/>
      <c r="C1404" s="164"/>
      <c r="D1404" s="164"/>
      <c r="E1404" s="164"/>
      <c r="F1404" s="164"/>
      <c r="G1404" s="381"/>
      <c r="H1404" s="382"/>
      <c r="I1404" s="383"/>
    </row>
    <row r="1405" spans="2:9" ht="13.5" thickBot="1" x14ac:dyDescent="0.25"/>
    <row r="1406" spans="2:9" ht="13.5" thickBot="1" x14ac:dyDescent="0.25">
      <c r="B1406" s="345" t="s">
        <v>0</v>
      </c>
      <c r="C1406" s="345" t="s">
        <v>9</v>
      </c>
      <c r="D1406" s="345" t="s">
        <v>1</v>
      </c>
      <c r="E1406" s="345" t="s">
        <v>189</v>
      </c>
      <c r="F1406" s="345" t="s">
        <v>8</v>
      </c>
      <c r="G1406" s="143"/>
      <c r="H1406" s="143"/>
      <c r="I1406" s="143"/>
    </row>
    <row r="1407" spans="2:9" ht="13.5" thickBot="1" x14ac:dyDescent="0.25">
      <c r="B1407" s="345"/>
      <c r="C1407" s="345"/>
      <c r="D1407" s="345"/>
      <c r="E1407" s="345"/>
      <c r="F1407" s="345"/>
      <c r="G1407" s="143"/>
      <c r="H1407" s="143"/>
      <c r="I1407" s="143"/>
    </row>
    <row r="1408" spans="2:9" ht="48.75" thickBot="1" x14ac:dyDescent="0.25">
      <c r="B1408" s="140" t="s">
        <v>113</v>
      </c>
      <c r="C1408" s="138"/>
      <c r="D1408" s="135" t="s">
        <v>456</v>
      </c>
      <c r="E1408" s="133" t="s">
        <v>11</v>
      </c>
      <c r="F1408" s="134">
        <f>SUM(F1410)</f>
        <v>2</v>
      </c>
      <c r="G1408" s="143"/>
      <c r="H1408" s="143"/>
      <c r="I1408" s="143"/>
    </row>
    <row r="1409" spans="2:11" ht="15.75" customHeight="1" thickBot="1" x14ac:dyDescent="0.25">
      <c r="B1409" s="148" t="s">
        <v>234</v>
      </c>
      <c r="C1409" s="148"/>
      <c r="D1409" s="135"/>
      <c r="E1409" s="148"/>
      <c r="F1409" s="148" t="s">
        <v>376</v>
      </c>
      <c r="G1409" s="349" t="s">
        <v>235</v>
      </c>
      <c r="H1409" s="351"/>
      <c r="I1409" s="350"/>
    </row>
    <row r="1410" spans="2:11" ht="13.5" customHeight="1" thickBot="1" x14ac:dyDescent="0.25">
      <c r="B1410" s="158">
        <v>2</v>
      </c>
      <c r="C1410" s="144"/>
      <c r="D1410" s="144"/>
      <c r="E1410" s="144"/>
      <c r="F1410" s="144">
        <f>B1410</f>
        <v>2</v>
      </c>
      <c r="G1410" s="352"/>
      <c r="H1410" s="353"/>
      <c r="I1410" s="354"/>
      <c r="K1410" s="143" t="s">
        <v>427</v>
      </c>
    </row>
    <row r="1411" spans="2:11" ht="13.5" thickBot="1" x14ac:dyDescent="0.25"/>
    <row r="1412" spans="2:11" ht="13.5" thickBot="1" x14ac:dyDescent="0.25">
      <c r="B1412" s="345" t="s">
        <v>0</v>
      </c>
      <c r="C1412" s="345" t="s">
        <v>9</v>
      </c>
      <c r="D1412" s="345" t="s">
        <v>1</v>
      </c>
      <c r="E1412" s="345" t="s">
        <v>189</v>
      </c>
      <c r="F1412" s="345" t="s">
        <v>8</v>
      </c>
      <c r="G1412" s="143"/>
      <c r="H1412" s="143"/>
      <c r="I1412" s="143"/>
    </row>
    <row r="1413" spans="2:11" ht="13.5" thickBot="1" x14ac:dyDescent="0.25">
      <c r="B1413" s="345"/>
      <c r="C1413" s="345"/>
      <c r="D1413" s="345"/>
      <c r="E1413" s="345"/>
      <c r="F1413" s="345"/>
      <c r="G1413" s="143"/>
      <c r="H1413" s="143"/>
      <c r="I1413" s="143"/>
    </row>
    <row r="1414" spans="2:11" ht="72.75" thickBot="1" x14ac:dyDescent="0.25">
      <c r="B1414" s="140" t="s">
        <v>435</v>
      </c>
      <c r="C1414" s="262" t="s">
        <v>608</v>
      </c>
      <c r="D1414" s="135" t="s">
        <v>609</v>
      </c>
      <c r="E1414" s="133" t="s">
        <v>11</v>
      </c>
      <c r="F1414" s="134">
        <f>SUM(F1416:F1416)</f>
        <v>1</v>
      </c>
      <c r="G1414" s="143"/>
      <c r="H1414" s="143"/>
      <c r="I1414" s="143"/>
      <c r="K1414" s="169" t="s">
        <v>383</v>
      </c>
    </row>
    <row r="1415" spans="2:11" ht="13.5" thickBot="1" x14ac:dyDescent="0.25">
      <c r="B1415" s="148" t="s">
        <v>234</v>
      </c>
      <c r="C1415" s="148"/>
      <c r="D1415" s="148"/>
      <c r="E1415" s="148"/>
      <c r="F1415" s="148" t="s">
        <v>376</v>
      </c>
      <c r="G1415" s="349" t="s">
        <v>235</v>
      </c>
      <c r="H1415" s="351"/>
      <c r="I1415" s="350"/>
    </row>
    <row r="1416" spans="2:11" ht="13.5" thickBot="1" x14ac:dyDescent="0.25">
      <c r="B1416" s="158">
        <v>1</v>
      </c>
      <c r="C1416" s="144"/>
      <c r="D1416" s="144"/>
      <c r="E1416" s="144"/>
      <c r="F1416" s="144">
        <f>B1416</f>
        <v>1</v>
      </c>
      <c r="G1416" s="352"/>
      <c r="H1416" s="353"/>
      <c r="I1416" s="354"/>
      <c r="K1416" s="143" t="s">
        <v>384</v>
      </c>
    </row>
    <row r="1417" spans="2:11" ht="13.5" thickBot="1" x14ac:dyDescent="0.25"/>
    <row r="1418" spans="2:11" ht="13.5" thickBot="1" x14ac:dyDescent="0.25">
      <c r="B1418" s="345" t="s">
        <v>0</v>
      </c>
      <c r="C1418" s="345" t="s">
        <v>9</v>
      </c>
      <c r="D1418" s="345" t="s">
        <v>1</v>
      </c>
      <c r="E1418" s="345" t="s">
        <v>189</v>
      </c>
      <c r="F1418" s="345" t="s">
        <v>8</v>
      </c>
      <c r="G1418" s="143"/>
      <c r="H1418" s="143"/>
      <c r="I1418" s="143"/>
    </row>
    <row r="1419" spans="2:11" ht="13.5" thickBot="1" x14ac:dyDescent="0.25">
      <c r="B1419" s="345"/>
      <c r="C1419" s="345"/>
      <c r="D1419" s="345"/>
      <c r="E1419" s="345"/>
      <c r="F1419" s="345"/>
      <c r="G1419" s="143"/>
      <c r="H1419" s="143"/>
      <c r="I1419" s="143"/>
    </row>
    <row r="1420" spans="2:11" ht="24.75" thickBot="1" x14ac:dyDescent="0.25">
      <c r="B1420" s="140" t="s">
        <v>382</v>
      </c>
      <c r="C1420" s="262" t="s">
        <v>539</v>
      </c>
      <c r="D1420" s="135" t="s">
        <v>413</v>
      </c>
      <c r="E1420" s="133" t="s">
        <v>12</v>
      </c>
      <c r="F1420" s="134">
        <f>SUM(F1423:F1423)</f>
        <v>30</v>
      </c>
      <c r="G1420" s="143"/>
      <c r="H1420" s="143"/>
      <c r="I1420" s="143"/>
    </row>
    <row r="1421" spans="2:11" ht="15.75" customHeight="1" thickBot="1" x14ac:dyDescent="0.25">
      <c r="B1421" s="338" t="s">
        <v>377</v>
      </c>
      <c r="C1421" s="339"/>
      <c r="D1421" s="339"/>
      <c r="E1421" s="339"/>
      <c r="F1421" s="339"/>
      <c r="G1421" s="339"/>
      <c r="H1421" s="339"/>
      <c r="I1421" s="340"/>
    </row>
    <row r="1422" spans="2:11" ht="13.5" thickBot="1" x14ac:dyDescent="0.25">
      <c r="B1422" s="148" t="s">
        <v>234</v>
      </c>
      <c r="C1422" s="148"/>
      <c r="D1422" s="148" t="s">
        <v>255</v>
      </c>
      <c r="E1422" s="148"/>
      <c r="F1422" s="148" t="s">
        <v>376</v>
      </c>
      <c r="G1422" s="349" t="s">
        <v>235</v>
      </c>
      <c r="H1422" s="351"/>
      <c r="I1422" s="350"/>
    </row>
    <row r="1423" spans="2:11" ht="13.5" thickBot="1" x14ac:dyDescent="0.25">
      <c r="B1423" s="158">
        <v>1</v>
      </c>
      <c r="C1423" s="144"/>
      <c r="D1423" s="144">
        <v>30</v>
      </c>
      <c r="E1423" s="144"/>
      <c r="F1423" s="144">
        <f>B1423*D1423</f>
        <v>30</v>
      </c>
      <c r="G1423" s="352"/>
      <c r="H1423" s="353"/>
      <c r="I1423" s="354"/>
      <c r="K1423" s="143" t="s">
        <v>414</v>
      </c>
    </row>
    <row r="1424" spans="2:11" ht="13.5" thickBot="1" x14ac:dyDescent="0.25"/>
    <row r="1425" spans="2:9" ht="13.5" thickBot="1" x14ac:dyDescent="0.25">
      <c r="B1425" s="345" t="s">
        <v>0</v>
      </c>
      <c r="C1425" s="345" t="s">
        <v>9</v>
      </c>
      <c r="D1425" s="345" t="s">
        <v>1</v>
      </c>
      <c r="E1425" s="345" t="s">
        <v>189</v>
      </c>
      <c r="F1425" s="345" t="s">
        <v>8</v>
      </c>
      <c r="G1425" s="143"/>
      <c r="H1425" s="143"/>
      <c r="I1425" s="143"/>
    </row>
    <row r="1426" spans="2:9" ht="13.5" thickBot="1" x14ac:dyDescent="0.25">
      <c r="B1426" s="345"/>
      <c r="C1426" s="345"/>
      <c r="D1426" s="345"/>
      <c r="E1426" s="345"/>
      <c r="F1426" s="345"/>
      <c r="G1426" s="143"/>
      <c r="H1426" s="143"/>
      <c r="I1426" s="143"/>
    </row>
    <row r="1427" spans="2:9" ht="48.75" thickBot="1" x14ac:dyDescent="0.25">
      <c r="B1427" s="140" t="s">
        <v>434</v>
      </c>
      <c r="C1427" s="268" t="s">
        <v>663</v>
      </c>
      <c r="D1427" s="135" t="s">
        <v>659</v>
      </c>
      <c r="E1427" s="133" t="s">
        <v>11</v>
      </c>
      <c r="F1427" s="134">
        <f>SUM(F1429)</f>
        <v>2</v>
      </c>
      <c r="G1427" s="143"/>
      <c r="H1427" s="143"/>
      <c r="I1427" s="143"/>
    </row>
    <row r="1428" spans="2:9" ht="13.5" thickBot="1" x14ac:dyDescent="0.25">
      <c r="B1428" s="268" t="s">
        <v>234</v>
      </c>
      <c r="C1428" s="268"/>
      <c r="D1428" s="268"/>
      <c r="E1428" s="268"/>
      <c r="F1428" s="268" t="s">
        <v>376</v>
      </c>
      <c r="G1428" s="349" t="s">
        <v>235</v>
      </c>
      <c r="H1428" s="351"/>
      <c r="I1428" s="350"/>
    </row>
    <row r="1429" spans="2:9" ht="13.5" thickBot="1" x14ac:dyDescent="0.25">
      <c r="B1429" s="158">
        <v>2</v>
      </c>
      <c r="C1429" s="267"/>
      <c r="D1429" s="267"/>
      <c r="E1429" s="267"/>
      <c r="F1429" s="267">
        <f>B1429</f>
        <v>2</v>
      </c>
      <c r="G1429" s="352" t="s">
        <v>443</v>
      </c>
      <c r="H1429" s="353"/>
      <c r="I1429" s="354"/>
    </row>
    <row r="1430" spans="2:9" ht="13.5" thickBot="1" x14ac:dyDescent="0.25"/>
    <row r="1431" spans="2:9" ht="13.5" thickBot="1" x14ac:dyDescent="0.25">
      <c r="B1431" s="345" t="s">
        <v>0</v>
      </c>
      <c r="C1431" s="345" t="s">
        <v>9</v>
      </c>
      <c r="D1431" s="345" t="s">
        <v>1</v>
      </c>
      <c r="E1431" s="345" t="s">
        <v>189</v>
      </c>
      <c r="F1431" s="345" t="s">
        <v>8</v>
      </c>
      <c r="G1431" s="143"/>
      <c r="H1431" s="143"/>
      <c r="I1431" s="143"/>
    </row>
    <row r="1432" spans="2:9" ht="13.5" thickBot="1" x14ac:dyDescent="0.25">
      <c r="B1432" s="345"/>
      <c r="C1432" s="345"/>
      <c r="D1432" s="345"/>
      <c r="E1432" s="345"/>
      <c r="F1432" s="345"/>
      <c r="G1432" s="143"/>
      <c r="H1432" s="143"/>
      <c r="I1432" s="143"/>
    </row>
    <row r="1433" spans="2:9" ht="13.5" thickBot="1" x14ac:dyDescent="0.25">
      <c r="B1433" s="140" t="s">
        <v>665</v>
      </c>
      <c r="C1433" s="262">
        <v>9537</v>
      </c>
      <c r="D1433" s="135" t="s">
        <v>436</v>
      </c>
      <c r="E1433" s="133" t="s">
        <v>10</v>
      </c>
      <c r="F1433" s="134">
        <f>SUM(F1435)</f>
        <v>154.5</v>
      </c>
      <c r="G1433" s="143"/>
      <c r="H1433" s="143"/>
      <c r="I1433" s="143"/>
    </row>
    <row r="1434" spans="2:9" ht="13.5" thickBot="1" x14ac:dyDescent="0.25">
      <c r="B1434" s="148" t="s">
        <v>234</v>
      </c>
      <c r="C1434" s="148"/>
      <c r="D1434" s="135"/>
      <c r="E1434" s="148"/>
      <c r="F1434" s="148" t="s">
        <v>300</v>
      </c>
      <c r="G1434" s="349" t="s">
        <v>235</v>
      </c>
      <c r="H1434" s="351"/>
      <c r="I1434" s="350"/>
    </row>
    <row r="1435" spans="2:9" ht="13.5" thickBot="1" x14ac:dyDescent="0.25">
      <c r="B1435" s="158"/>
      <c r="C1435" s="144"/>
      <c r="D1435" s="144"/>
      <c r="E1435" s="144"/>
      <c r="F1435" s="144">
        <v>154.5</v>
      </c>
      <c r="G1435" s="352"/>
      <c r="H1435" s="353"/>
      <c r="I1435" s="354"/>
    </row>
  </sheetData>
  <mergeCells count="1282">
    <mergeCell ref="G1428:I1428"/>
    <mergeCell ref="G1429:I1429"/>
    <mergeCell ref="G716:I716"/>
    <mergeCell ref="B1113:B1114"/>
    <mergeCell ref="C1113:C1114"/>
    <mergeCell ref="D1113:D1114"/>
    <mergeCell ref="E1113:E1114"/>
    <mergeCell ref="F1113:F1114"/>
    <mergeCell ref="G1116:I1116"/>
    <mergeCell ref="G1117:I1117"/>
    <mergeCell ref="G675:I675"/>
    <mergeCell ref="B1425:B1426"/>
    <mergeCell ref="C1425:C1426"/>
    <mergeCell ref="D1425:D1426"/>
    <mergeCell ref="E1425:E1426"/>
    <mergeCell ref="F1425:F1426"/>
    <mergeCell ref="B1137:B1138"/>
    <mergeCell ref="G1278:I1278"/>
    <mergeCell ref="G1281:I1281"/>
    <mergeCell ref="B718:B719"/>
    <mergeCell ref="G1272:I1272"/>
    <mergeCell ref="B785:B786"/>
    <mergeCell ref="C785:C786"/>
    <mergeCell ref="D785:D786"/>
    <mergeCell ref="E785:E786"/>
    <mergeCell ref="F785:F786"/>
    <mergeCell ref="G808:I808"/>
    <mergeCell ref="G790:I790"/>
    <mergeCell ref="G791:I791"/>
    <mergeCell ref="G792:I792"/>
    <mergeCell ref="G793:I793"/>
    <mergeCell ref="G795:I795"/>
    <mergeCell ref="G674:I674"/>
    <mergeCell ref="G509:I509"/>
    <mergeCell ref="G510:I510"/>
    <mergeCell ref="G503:I503"/>
    <mergeCell ref="G512:I512"/>
    <mergeCell ref="F478:G478"/>
    <mergeCell ref="F484:G484"/>
    <mergeCell ref="H485:I485"/>
    <mergeCell ref="H486:I486"/>
    <mergeCell ref="H479:I479"/>
    <mergeCell ref="H480:I480"/>
    <mergeCell ref="H390:I392"/>
    <mergeCell ref="H370:I371"/>
    <mergeCell ref="G299:I299"/>
    <mergeCell ref="G300:I300"/>
    <mergeCell ref="H380:I381"/>
    <mergeCell ref="G513:I513"/>
    <mergeCell ref="B501:I501"/>
    <mergeCell ref="G504:I504"/>
    <mergeCell ref="G505:I505"/>
    <mergeCell ref="G502:I502"/>
    <mergeCell ref="G507:I507"/>
    <mergeCell ref="G506:I506"/>
    <mergeCell ref="G541:I541"/>
    <mergeCell ref="C534:C535"/>
    <mergeCell ref="D534:D535"/>
    <mergeCell ref="E534:E535"/>
    <mergeCell ref="F534:F535"/>
    <mergeCell ref="B534:B535"/>
    <mergeCell ref="H221:I224"/>
    <mergeCell ref="H269:I269"/>
    <mergeCell ref="H275:I275"/>
    <mergeCell ref="F79:F80"/>
    <mergeCell ref="G77:I77"/>
    <mergeCell ref="B79:B80"/>
    <mergeCell ref="G297:I297"/>
    <mergeCell ref="G298:I298"/>
    <mergeCell ref="E289:E290"/>
    <mergeCell ref="H376:I377"/>
    <mergeCell ref="H378:I379"/>
    <mergeCell ref="H383:I383"/>
    <mergeCell ref="B346:I346"/>
    <mergeCell ref="H348:I349"/>
    <mergeCell ref="H350:I351"/>
    <mergeCell ref="H352:I353"/>
    <mergeCell ref="H366:I367"/>
    <mergeCell ref="H368:I369"/>
    <mergeCell ref="H372:I373"/>
    <mergeCell ref="H374:I375"/>
    <mergeCell ref="D54:D55"/>
    <mergeCell ref="G76:I76"/>
    <mergeCell ref="G64:I64"/>
    <mergeCell ref="G47:I47"/>
    <mergeCell ref="G63:I63"/>
    <mergeCell ref="B90:B91"/>
    <mergeCell ref="C90:C91"/>
    <mergeCell ref="D90:D91"/>
    <mergeCell ref="E90:E91"/>
    <mergeCell ref="F90:F91"/>
    <mergeCell ref="E66:E67"/>
    <mergeCell ref="D79:D80"/>
    <mergeCell ref="G71:I71"/>
    <mergeCell ref="G72:I72"/>
    <mergeCell ref="G73:I73"/>
    <mergeCell ref="G74:I74"/>
    <mergeCell ref="G75:I75"/>
    <mergeCell ref="G70:I70"/>
    <mergeCell ref="B60:B61"/>
    <mergeCell ref="C60:C61"/>
    <mergeCell ref="D60:D61"/>
    <mergeCell ref="E60:E61"/>
    <mergeCell ref="F60:F61"/>
    <mergeCell ref="H415:I417"/>
    <mergeCell ref="H399:I401"/>
    <mergeCell ref="H387:I389"/>
    <mergeCell ref="G514:I514"/>
    <mergeCell ref="B511:I511"/>
    <mergeCell ref="B31:I31"/>
    <mergeCell ref="G34:I34"/>
    <mergeCell ref="G83:I83"/>
    <mergeCell ref="G84:I84"/>
    <mergeCell ref="G85:I85"/>
    <mergeCell ref="G508:I508"/>
    <mergeCell ref="B382:I382"/>
    <mergeCell ref="B462:B463"/>
    <mergeCell ref="C462:C463"/>
    <mergeCell ref="D462:D463"/>
    <mergeCell ref="E462:E463"/>
    <mergeCell ref="F462:F463"/>
    <mergeCell ref="H393:I395"/>
    <mergeCell ref="H396:I398"/>
    <mergeCell ref="B431:I431"/>
    <mergeCell ref="H354:I355"/>
    <mergeCell ref="H356:I357"/>
    <mergeCell ref="H358:I359"/>
    <mergeCell ref="G48:I48"/>
    <mergeCell ref="G49:I49"/>
    <mergeCell ref="G58:I58"/>
    <mergeCell ref="B54:B55"/>
    <mergeCell ref="D289:D290"/>
    <mergeCell ref="H467:I470"/>
    <mergeCell ref="G131:I131"/>
    <mergeCell ref="G132:I132"/>
    <mergeCell ref="G133:I133"/>
    <mergeCell ref="B245:I245"/>
    <mergeCell ref="G322:I322"/>
    <mergeCell ref="G292:I292"/>
    <mergeCell ref="G144:I144"/>
    <mergeCell ref="G145:I145"/>
    <mergeCell ref="H360:I361"/>
    <mergeCell ref="H231:I233"/>
    <mergeCell ref="H239:I241"/>
    <mergeCell ref="H234:I238"/>
    <mergeCell ref="H242:I244"/>
    <mergeCell ref="H246:I247"/>
    <mergeCell ref="H466:I466"/>
    <mergeCell ref="H362:I363"/>
    <mergeCell ref="H384:I386"/>
    <mergeCell ref="B364:I364"/>
    <mergeCell ref="H365:I365"/>
    <mergeCell ref="B135:B136"/>
    <mergeCell ref="C135:C136"/>
    <mergeCell ref="D135:D136"/>
    <mergeCell ref="E135:E136"/>
    <mergeCell ref="F135:F136"/>
    <mergeCell ref="G138:I138"/>
    <mergeCell ref="G293:I293"/>
    <mergeCell ref="G294:I294"/>
    <mergeCell ref="G295:I295"/>
    <mergeCell ref="G296:I296"/>
    <mergeCell ref="G146:I146"/>
    <mergeCell ref="B108:I108"/>
    <mergeCell ref="G109:I109"/>
    <mergeCell ref="G86:I86"/>
    <mergeCell ref="E79:E80"/>
    <mergeCell ref="G170:I170"/>
    <mergeCell ref="G127:I127"/>
    <mergeCell ref="G110:I110"/>
    <mergeCell ref="C102:I102"/>
    <mergeCell ref="B118:I118"/>
    <mergeCell ref="G119:I119"/>
    <mergeCell ref="G120:I120"/>
    <mergeCell ref="G121:I121"/>
    <mergeCell ref="G116:I116"/>
    <mergeCell ref="G117:I117"/>
    <mergeCell ref="G172:I172"/>
    <mergeCell ref="G171:I171"/>
    <mergeCell ref="G167:I167"/>
    <mergeCell ref="G98:I98"/>
    <mergeCell ref="G95:I95"/>
    <mergeCell ref="G96:I96"/>
    <mergeCell ref="G97:I97"/>
    <mergeCell ref="D105:D106"/>
    <mergeCell ref="E105:E106"/>
    <mergeCell ref="F105:F106"/>
    <mergeCell ref="G125:I125"/>
    <mergeCell ref="G126:I126"/>
    <mergeCell ref="G124:I124"/>
    <mergeCell ref="G123:I123"/>
    <mergeCell ref="B105:B106"/>
    <mergeCell ref="C105:C106"/>
    <mergeCell ref="G99:I99"/>
    <mergeCell ref="G111:I111"/>
    <mergeCell ref="G112:I112"/>
    <mergeCell ref="G113:I113"/>
    <mergeCell ref="G114:I114"/>
    <mergeCell ref="G122:I122"/>
    <mergeCell ref="G168:I168"/>
    <mergeCell ref="G177:I177"/>
    <mergeCell ref="B192:I192"/>
    <mergeCell ref="B174:I174"/>
    <mergeCell ref="G169:I169"/>
    <mergeCell ref="G162:I162"/>
    <mergeCell ref="G163:I163"/>
    <mergeCell ref="G164:I164"/>
    <mergeCell ref="G165:I165"/>
    <mergeCell ref="G166:I166"/>
    <mergeCell ref="G537:I537"/>
    <mergeCell ref="G500:I500"/>
    <mergeCell ref="G188:I188"/>
    <mergeCell ref="G189:I189"/>
    <mergeCell ref="G190:I190"/>
    <mergeCell ref="H228:I230"/>
    <mergeCell ref="G191:I191"/>
    <mergeCell ref="G193:I193"/>
    <mergeCell ref="H248:I249"/>
    <mergeCell ref="F343:F344"/>
    <mergeCell ref="G310:I310"/>
    <mergeCell ref="B179:B180"/>
    <mergeCell ref="C179:C180"/>
    <mergeCell ref="G173:I173"/>
    <mergeCell ref="G529:I529"/>
    <mergeCell ref="G175:I175"/>
    <mergeCell ref="G115:I115"/>
    <mergeCell ref="B151:I151"/>
    <mergeCell ref="G128:I128"/>
    <mergeCell ref="F179:F180"/>
    <mergeCell ref="G195:I195"/>
    <mergeCell ref="H411:I414"/>
    <mergeCell ref="G316:I316"/>
    <mergeCell ref="H201:I204"/>
    <mergeCell ref="H200:I200"/>
    <mergeCell ref="F197:G198"/>
    <mergeCell ref="F199:G199"/>
    <mergeCell ref="G499:I499"/>
    <mergeCell ref="G492:I492"/>
    <mergeCell ref="B491:I491"/>
    <mergeCell ref="G493:I493"/>
    <mergeCell ref="G494:I494"/>
    <mergeCell ref="G495:I495"/>
    <mergeCell ref="G496:I496"/>
    <mergeCell ref="G497:I497"/>
    <mergeCell ref="G498:I498"/>
    <mergeCell ref="F148:F149"/>
    <mergeCell ref="B130:I130"/>
    <mergeCell ref="G140:I140"/>
    <mergeCell ref="G139:I139"/>
    <mergeCell ref="B197:B198"/>
    <mergeCell ref="C197:C198"/>
    <mergeCell ref="D197:D198"/>
    <mergeCell ref="C148:C149"/>
    <mergeCell ref="D148:D149"/>
    <mergeCell ref="E197:E198"/>
    <mergeCell ref="G194:I194"/>
    <mergeCell ref="B289:B290"/>
    <mergeCell ref="C289:C290"/>
    <mergeCell ref="B66:B67"/>
    <mergeCell ref="C66:C67"/>
    <mergeCell ref="D66:D67"/>
    <mergeCell ref="F488:F489"/>
    <mergeCell ref="G30:I30"/>
    <mergeCell ref="G33:I33"/>
    <mergeCell ref="G27:I27"/>
    <mergeCell ref="B161:I161"/>
    <mergeCell ref="F66:F67"/>
    <mergeCell ref="C18:I18"/>
    <mergeCell ref="G32:I32"/>
    <mergeCell ref="C11:C12"/>
    <mergeCell ref="E54:E55"/>
    <mergeCell ref="E179:E180"/>
    <mergeCell ref="G129:I129"/>
    <mergeCell ref="G143:I143"/>
    <mergeCell ref="G142:I142"/>
    <mergeCell ref="G141:I141"/>
    <mergeCell ref="B24:I24"/>
    <mergeCell ref="G26:I26"/>
    <mergeCell ref="D11:D12"/>
    <mergeCell ref="E11:E12"/>
    <mergeCell ref="F11:F12"/>
    <mergeCell ref="G87:I87"/>
    <mergeCell ref="E148:E149"/>
    <mergeCell ref="C79:C80"/>
    <mergeCell ref="B148:B149"/>
    <mergeCell ref="G93:I93"/>
    <mergeCell ref="G94:I94"/>
    <mergeCell ref="G176:I176"/>
    <mergeCell ref="F271:G272"/>
    <mergeCell ref="H207:I209"/>
    <mergeCell ref="B1:B4"/>
    <mergeCell ref="C1:D3"/>
    <mergeCell ref="E1:E2"/>
    <mergeCell ref="F1:I2"/>
    <mergeCell ref="F3:I3"/>
    <mergeCell ref="C4:D4"/>
    <mergeCell ref="F4:I4"/>
    <mergeCell ref="B21:B22"/>
    <mergeCell ref="C21:C22"/>
    <mergeCell ref="D21:D22"/>
    <mergeCell ref="E21:E22"/>
    <mergeCell ref="F21:F22"/>
    <mergeCell ref="G29:I29"/>
    <mergeCell ref="G28:I28"/>
    <mergeCell ref="F54:F55"/>
    <mergeCell ref="D36:D37"/>
    <mergeCell ref="E36:E37"/>
    <mergeCell ref="F36:F37"/>
    <mergeCell ref="B39:I39"/>
    <mergeCell ref="G40:I40"/>
    <mergeCell ref="C36:C37"/>
    <mergeCell ref="B36:B37"/>
    <mergeCell ref="G41:I41"/>
    <mergeCell ref="G42:I42"/>
    <mergeCell ref="B6:I6"/>
    <mergeCell ref="B11:B12"/>
    <mergeCell ref="C8:I8"/>
    <mergeCell ref="G43:I43"/>
    <mergeCell ref="G44:I44"/>
    <mergeCell ref="G45:I45"/>
    <mergeCell ref="B46:I46"/>
    <mergeCell ref="C54:C55"/>
    <mergeCell ref="G186:I186"/>
    <mergeCell ref="G187:I187"/>
    <mergeCell ref="B182:I182"/>
    <mergeCell ref="G184:I184"/>
    <mergeCell ref="G185:I185"/>
    <mergeCell ref="G183:I183"/>
    <mergeCell ref="D179:D180"/>
    <mergeCell ref="C303:I303"/>
    <mergeCell ref="H225:I227"/>
    <mergeCell ref="H210:I214"/>
    <mergeCell ref="H215:I217"/>
    <mergeCell ref="H218:I220"/>
    <mergeCell ref="H205:I206"/>
    <mergeCell ref="G311:I311"/>
    <mergeCell ref="H347:I347"/>
    <mergeCell ref="G320:I320"/>
    <mergeCell ref="B306:B307"/>
    <mergeCell ref="C306:C307"/>
    <mergeCell ref="D306:D307"/>
    <mergeCell ref="E306:E307"/>
    <mergeCell ref="F306:F307"/>
    <mergeCell ref="C343:C344"/>
    <mergeCell ref="G312:I312"/>
    <mergeCell ref="B343:B344"/>
    <mergeCell ref="F289:F290"/>
    <mergeCell ref="G313:I313"/>
    <mergeCell ref="G314:I314"/>
    <mergeCell ref="G315:I315"/>
    <mergeCell ref="F273:G273"/>
    <mergeCell ref="H274:I274"/>
    <mergeCell ref="H280:I280"/>
    <mergeCell ref="H286:I286"/>
    <mergeCell ref="B526:B527"/>
    <mergeCell ref="C526:C527"/>
    <mergeCell ref="D526:D527"/>
    <mergeCell ref="E526:E527"/>
    <mergeCell ref="F526:F527"/>
    <mergeCell ref="B551:I551"/>
    <mergeCell ref="B542:B543"/>
    <mergeCell ref="C542:C543"/>
    <mergeCell ref="D542:D543"/>
    <mergeCell ref="E542:E543"/>
    <mergeCell ref="F542:F543"/>
    <mergeCell ref="B545:I545"/>
    <mergeCell ref="G538:I538"/>
    <mergeCell ref="D444:D445"/>
    <mergeCell ref="E444:E445"/>
    <mergeCell ref="H459:I459"/>
    <mergeCell ref="H460:I460"/>
    <mergeCell ref="F452:G452"/>
    <mergeCell ref="H453:I453"/>
    <mergeCell ref="H454:I454"/>
    <mergeCell ref="F456:G457"/>
    <mergeCell ref="F458:G458"/>
    <mergeCell ref="B476:B477"/>
    <mergeCell ref="C476:C477"/>
    <mergeCell ref="D476:D477"/>
    <mergeCell ref="E476:E477"/>
    <mergeCell ref="F476:G477"/>
    <mergeCell ref="D482:D483"/>
    <mergeCell ref="E482:E483"/>
    <mergeCell ref="F482:G483"/>
    <mergeCell ref="G14:I14"/>
    <mergeCell ref="G15:I15"/>
    <mergeCell ref="G69:I69"/>
    <mergeCell ref="G25:I25"/>
    <mergeCell ref="G57:I57"/>
    <mergeCell ref="G82:I82"/>
    <mergeCell ref="G88:I88"/>
    <mergeCell ref="G539:I539"/>
    <mergeCell ref="G540:I540"/>
    <mergeCell ref="H410:I410"/>
    <mergeCell ref="H471:I474"/>
    <mergeCell ref="H402:I404"/>
    <mergeCell ref="H405:I407"/>
    <mergeCell ref="G516:I516"/>
    <mergeCell ref="B409:I409"/>
    <mergeCell ref="B515:I515"/>
    <mergeCell ref="B465:I465"/>
    <mergeCell ref="H432:I432"/>
    <mergeCell ref="G325:I325"/>
    <mergeCell ref="E456:E457"/>
    <mergeCell ref="B456:B457"/>
    <mergeCell ref="C456:C457"/>
    <mergeCell ref="D456:D457"/>
    <mergeCell ref="B482:B483"/>
    <mergeCell ref="C482:C483"/>
    <mergeCell ref="F440:G440"/>
    <mergeCell ref="H441:I441"/>
    <mergeCell ref="H442:I442"/>
    <mergeCell ref="B444:B445"/>
    <mergeCell ref="F450:G451"/>
    <mergeCell ref="C444:C445"/>
    <mergeCell ref="F446:G446"/>
    <mergeCell ref="G639:I639"/>
    <mergeCell ref="C633:I633"/>
    <mergeCell ref="B570:I570"/>
    <mergeCell ref="B617:B618"/>
    <mergeCell ref="G621:I621"/>
    <mergeCell ref="F623:F624"/>
    <mergeCell ref="G601:I601"/>
    <mergeCell ref="G578:I578"/>
    <mergeCell ref="B636:B637"/>
    <mergeCell ref="C636:C637"/>
    <mergeCell ref="D636:D637"/>
    <mergeCell ref="E636:E637"/>
    <mergeCell ref="F636:F637"/>
    <mergeCell ref="B564:I564"/>
    <mergeCell ref="C617:C618"/>
    <mergeCell ref="G600:I600"/>
    <mergeCell ref="D617:D618"/>
    <mergeCell ref="E617:E618"/>
    <mergeCell ref="G629:I629"/>
    <mergeCell ref="C587:I587"/>
    <mergeCell ref="B575:B576"/>
    <mergeCell ref="C575:C576"/>
    <mergeCell ref="D575:D576"/>
    <mergeCell ref="E575:E576"/>
    <mergeCell ref="F575:F576"/>
    <mergeCell ref="C643:C644"/>
    <mergeCell ref="D643:D644"/>
    <mergeCell ref="E643:E644"/>
    <mergeCell ref="F643:F644"/>
    <mergeCell ref="B604:B605"/>
    <mergeCell ref="C604:C605"/>
    <mergeCell ref="D604:D605"/>
    <mergeCell ref="E604:E605"/>
    <mergeCell ref="F604:F605"/>
    <mergeCell ref="G662:I662"/>
    <mergeCell ref="B1275:B1276"/>
    <mergeCell ref="C1275:C1276"/>
    <mergeCell ref="D1275:D1276"/>
    <mergeCell ref="E1275:E1276"/>
    <mergeCell ref="F1275:F1276"/>
    <mergeCell ref="G1269:I1269"/>
    <mergeCell ref="G856:I856"/>
    <mergeCell ref="B855:I855"/>
    <mergeCell ref="G794:I794"/>
    <mergeCell ref="G656:I656"/>
    <mergeCell ref="G657:I657"/>
    <mergeCell ref="G607:I607"/>
    <mergeCell ref="G608:I608"/>
    <mergeCell ref="G609:I609"/>
    <mergeCell ref="G610:I610"/>
    <mergeCell ref="G620:I620"/>
    <mergeCell ref="G649:I649"/>
    <mergeCell ref="G650:I650"/>
    <mergeCell ref="G630:I630"/>
    <mergeCell ref="G640:I640"/>
    <mergeCell ref="G641:I641"/>
    <mergeCell ref="F617:F618"/>
    <mergeCell ref="D659:D660"/>
    <mergeCell ref="E659:E660"/>
    <mergeCell ref="G647:I647"/>
    <mergeCell ref="G648:I648"/>
    <mergeCell ref="G646:I646"/>
    <mergeCell ref="B557:I557"/>
    <mergeCell ref="G602:I602"/>
    <mergeCell ref="B590:B591"/>
    <mergeCell ref="C590:C591"/>
    <mergeCell ref="D590:D591"/>
    <mergeCell ref="E590:E591"/>
    <mergeCell ref="F590:F591"/>
    <mergeCell ref="G593:I593"/>
    <mergeCell ref="G594:I594"/>
    <mergeCell ref="B560:I560"/>
    <mergeCell ref="B488:B489"/>
    <mergeCell ref="C488:C489"/>
    <mergeCell ref="D488:D489"/>
    <mergeCell ref="E488:E489"/>
    <mergeCell ref="G517:I517"/>
    <mergeCell ref="G518:I518"/>
    <mergeCell ref="G519:I523"/>
    <mergeCell ref="G530:I530"/>
    <mergeCell ref="G531:I531"/>
    <mergeCell ref="G532:I532"/>
    <mergeCell ref="B623:B624"/>
    <mergeCell ref="C623:C624"/>
    <mergeCell ref="D623:D624"/>
    <mergeCell ref="E623:E624"/>
    <mergeCell ref="G597:I597"/>
    <mergeCell ref="G598:I598"/>
    <mergeCell ref="B643:B644"/>
    <mergeCell ref="G1283:I1283"/>
    <mergeCell ref="G1284:I1284"/>
    <mergeCell ref="G1273:I1273"/>
    <mergeCell ref="G1270:I1270"/>
    <mergeCell ref="G1263:I1263"/>
    <mergeCell ref="G1264:I1264"/>
    <mergeCell ref="G1279:I1279"/>
    <mergeCell ref="G1280:I1280"/>
    <mergeCell ref="G1271:I1271"/>
    <mergeCell ref="E831:E832"/>
    <mergeCell ref="G655:I655"/>
    <mergeCell ref="G651:I651"/>
    <mergeCell ref="G652:I652"/>
    <mergeCell ref="G653:I653"/>
    <mergeCell ref="G524:I524"/>
    <mergeCell ref="G599:I599"/>
    <mergeCell ref="G595:I595"/>
    <mergeCell ref="G596:I596"/>
    <mergeCell ref="G654:I654"/>
    <mergeCell ref="G611:I611"/>
    <mergeCell ref="G612:I612"/>
    <mergeCell ref="G613:I613"/>
    <mergeCell ref="G614:I614"/>
    <mergeCell ref="G615:I615"/>
    <mergeCell ref="C782:I782"/>
    <mergeCell ref="G628:I628"/>
    <mergeCell ref="C678:I678"/>
    <mergeCell ref="C694:I694"/>
    <mergeCell ref="C726:I726"/>
    <mergeCell ref="G757:I757"/>
    <mergeCell ref="E764:E765"/>
    <mergeCell ref="D764:D765"/>
    <mergeCell ref="B846:B847"/>
    <mergeCell ref="C846:C847"/>
    <mergeCell ref="D846:D847"/>
    <mergeCell ref="E846:E847"/>
    <mergeCell ref="F846:F847"/>
    <mergeCell ref="G850:I850"/>
    <mergeCell ref="G868:I868"/>
    <mergeCell ref="G857:I857"/>
    <mergeCell ref="G858:I858"/>
    <mergeCell ref="G859:I859"/>
    <mergeCell ref="G860:I860"/>
    <mergeCell ref="G861:I861"/>
    <mergeCell ref="G862:I862"/>
    <mergeCell ref="G863:I863"/>
    <mergeCell ref="G796:I796"/>
    <mergeCell ref="C736:I736"/>
    <mergeCell ref="C761:I761"/>
    <mergeCell ref="G768:I768"/>
    <mergeCell ref="G769:I769"/>
    <mergeCell ref="G754:I754"/>
    <mergeCell ref="C822:C823"/>
    <mergeCell ref="D822:D823"/>
    <mergeCell ref="E822:E823"/>
    <mergeCell ref="F822:F823"/>
    <mergeCell ref="G797:I797"/>
    <mergeCell ref="G806:I806"/>
    <mergeCell ref="G807:I807"/>
    <mergeCell ref="G767:I767"/>
    <mergeCell ref="G770:I770"/>
    <mergeCell ref="F773:F774"/>
    <mergeCell ref="G580:I580"/>
    <mergeCell ref="G579:I579"/>
    <mergeCell ref="G581:I581"/>
    <mergeCell ref="G582:I582"/>
    <mergeCell ref="G583:I583"/>
    <mergeCell ref="G584:I584"/>
    <mergeCell ref="G626:I626"/>
    <mergeCell ref="G627:I627"/>
    <mergeCell ref="G789:I789"/>
    <mergeCell ref="G700:I700"/>
    <mergeCell ref="G702:I702"/>
    <mergeCell ref="G820:I820"/>
    <mergeCell ref="B849:I849"/>
    <mergeCell ref="G840:I840"/>
    <mergeCell ref="G841:I841"/>
    <mergeCell ref="G842:I842"/>
    <mergeCell ref="G843:I843"/>
    <mergeCell ref="G844:I844"/>
    <mergeCell ref="B831:B832"/>
    <mergeCell ref="C831:C832"/>
    <mergeCell ref="D831:D832"/>
    <mergeCell ref="F831:F832"/>
    <mergeCell ref="B788:I788"/>
    <mergeCell ref="B799:I799"/>
    <mergeCell ref="G800:I800"/>
    <mergeCell ref="G825:I825"/>
    <mergeCell ref="G826:I826"/>
    <mergeCell ref="G827:I827"/>
    <mergeCell ref="G829:I829"/>
    <mergeCell ref="B822:B823"/>
    <mergeCell ref="G834:I834"/>
    <mergeCell ref="G835:I835"/>
    <mergeCell ref="G813:I813"/>
    <mergeCell ref="G814:I814"/>
    <mergeCell ref="G815:I815"/>
    <mergeCell ref="G816:I816"/>
    <mergeCell ref="G817:I817"/>
    <mergeCell ref="G818:I818"/>
    <mergeCell ref="G819:I819"/>
    <mergeCell ref="G1295:I1295"/>
    <mergeCell ref="G839:I839"/>
    <mergeCell ref="G869:I869"/>
    <mergeCell ref="G870:I870"/>
    <mergeCell ref="G1293:I1293"/>
    <mergeCell ref="G1294:I1294"/>
    <mergeCell ref="G1287:I1287"/>
    <mergeCell ref="G1288:I1288"/>
    <mergeCell ref="G1286:I1286"/>
    <mergeCell ref="G864:I864"/>
    <mergeCell ref="G836:I836"/>
    <mergeCell ref="G837:I837"/>
    <mergeCell ref="G838:I838"/>
    <mergeCell ref="G874:I874"/>
    <mergeCell ref="G851:I851"/>
    <mergeCell ref="G852:I852"/>
    <mergeCell ref="G854:I854"/>
    <mergeCell ref="G1285:I1285"/>
    <mergeCell ref="G894:I894"/>
    <mergeCell ref="G895:I895"/>
    <mergeCell ref="G896:I896"/>
    <mergeCell ref="G875:I875"/>
    <mergeCell ref="G876:I876"/>
    <mergeCell ref="B891:I891"/>
    <mergeCell ref="G892:I892"/>
    <mergeCell ref="G713:I713"/>
    <mergeCell ref="G714:I714"/>
    <mergeCell ref="B811:I811"/>
    <mergeCell ref="G812:I812"/>
    <mergeCell ref="B697:B698"/>
    <mergeCell ref="C697:C698"/>
    <mergeCell ref="D697:D698"/>
    <mergeCell ref="E697:E698"/>
    <mergeCell ref="F697:F698"/>
    <mergeCell ref="D710:D711"/>
    <mergeCell ref="E704:E705"/>
    <mergeCell ref="D704:D705"/>
    <mergeCell ref="C704:C705"/>
    <mergeCell ref="B704:B705"/>
    <mergeCell ref="G801:I801"/>
    <mergeCell ref="G802:I802"/>
    <mergeCell ref="G803:I803"/>
    <mergeCell ref="G804:I804"/>
    <mergeCell ref="G805:I805"/>
    <mergeCell ref="G809:I809"/>
    <mergeCell ref="G810:I810"/>
    <mergeCell ref="G798:I798"/>
    <mergeCell ref="D718:D719"/>
    <mergeCell ref="E718:E719"/>
    <mergeCell ref="F718:F719"/>
    <mergeCell ref="C729:C730"/>
    <mergeCell ref="D729:D730"/>
    <mergeCell ref="B878:B879"/>
    <mergeCell ref="C878:C879"/>
    <mergeCell ref="D878:D879"/>
    <mergeCell ref="E878:E879"/>
    <mergeCell ref="F878:F879"/>
    <mergeCell ref="G866:I866"/>
    <mergeCell ref="G867:I867"/>
    <mergeCell ref="G871:I871"/>
    <mergeCell ref="G872:I872"/>
    <mergeCell ref="G873:I873"/>
    <mergeCell ref="D925:D926"/>
    <mergeCell ref="B881:I881"/>
    <mergeCell ref="G882:I882"/>
    <mergeCell ref="G883:I883"/>
    <mergeCell ref="G884:I884"/>
    <mergeCell ref="G885:I885"/>
    <mergeCell ref="G886:I886"/>
    <mergeCell ref="G893:I893"/>
    <mergeCell ref="G901:I901"/>
    <mergeCell ref="G910:I910"/>
    <mergeCell ref="G911:I911"/>
    <mergeCell ref="D991:D992"/>
    <mergeCell ref="E991:E992"/>
    <mergeCell ref="F991:F992"/>
    <mergeCell ref="B939:B940"/>
    <mergeCell ref="C939:C940"/>
    <mergeCell ref="F925:F926"/>
    <mergeCell ref="C988:I988"/>
    <mergeCell ref="G887:I887"/>
    <mergeCell ref="G888:I888"/>
    <mergeCell ref="G889:I889"/>
    <mergeCell ref="G890:I890"/>
    <mergeCell ref="G908:I908"/>
    <mergeCell ref="G909:I909"/>
    <mergeCell ref="G898:I898"/>
    <mergeCell ref="G899:I899"/>
    <mergeCell ref="G900:I900"/>
    <mergeCell ref="G902:I902"/>
    <mergeCell ref="G1001:I1001"/>
    <mergeCell ref="G1140:I1140"/>
    <mergeCell ref="G1141:I1141"/>
    <mergeCell ref="C1143:C1144"/>
    <mergeCell ref="F1143:F1144"/>
    <mergeCell ref="G1245:I1245"/>
    <mergeCell ref="D1185:D1186"/>
    <mergeCell ref="B1203:B1204"/>
    <mergeCell ref="C1203:C1204"/>
    <mergeCell ref="B1230:B1231"/>
    <mergeCell ref="G995:I995"/>
    <mergeCell ref="C963:C964"/>
    <mergeCell ref="C915:I915"/>
    <mergeCell ref="B918:B919"/>
    <mergeCell ref="C918:C919"/>
    <mergeCell ref="D918:D919"/>
    <mergeCell ref="E918:E919"/>
    <mergeCell ref="F918:F919"/>
    <mergeCell ref="G928:I928"/>
    <mergeCell ref="E925:E926"/>
    <mergeCell ref="G994:I994"/>
    <mergeCell ref="B997:B998"/>
    <mergeCell ref="G956:I956"/>
    <mergeCell ref="G942:I942"/>
    <mergeCell ref="B1003:B1004"/>
    <mergeCell ref="C1003:C1004"/>
    <mergeCell ref="D1003:D1004"/>
    <mergeCell ref="E1003:E1004"/>
    <mergeCell ref="F1003:F1004"/>
    <mergeCell ref="E997:E998"/>
    <mergeCell ref="B991:B992"/>
    <mergeCell ref="C991:C992"/>
    <mergeCell ref="B1173:B1174"/>
    <mergeCell ref="C1173:C1174"/>
    <mergeCell ref="D1173:D1174"/>
    <mergeCell ref="E1173:E1174"/>
    <mergeCell ref="B1015:B1016"/>
    <mergeCell ref="C1015:C1016"/>
    <mergeCell ref="D1015:D1016"/>
    <mergeCell ref="E1015:E1016"/>
    <mergeCell ref="F1015:F1016"/>
    <mergeCell ref="B1021:B1022"/>
    <mergeCell ref="C1021:C1022"/>
    <mergeCell ref="D1021:D1022"/>
    <mergeCell ref="E1021:E1022"/>
    <mergeCell ref="C1027:C1028"/>
    <mergeCell ref="D1027:D1028"/>
    <mergeCell ref="E1027:E1028"/>
    <mergeCell ref="F1027:F1028"/>
    <mergeCell ref="E1125:E1126"/>
    <mergeCell ref="B1131:B1132"/>
    <mergeCell ref="C1131:C1132"/>
    <mergeCell ref="F1125:F1126"/>
    <mergeCell ref="B1143:B1144"/>
    <mergeCell ref="D1143:D1144"/>
    <mergeCell ref="E1143:E1144"/>
    <mergeCell ref="F1021:F1022"/>
    <mergeCell ref="C1137:C1138"/>
    <mergeCell ref="D1137:D1138"/>
    <mergeCell ref="E1137:E1138"/>
    <mergeCell ref="F1137:F1138"/>
    <mergeCell ref="G1296:I1296"/>
    <mergeCell ref="G1252:I1252"/>
    <mergeCell ref="G1253:I1253"/>
    <mergeCell ref="G1254:I1254"/>
    <mergeCell ref="G1255:I1255"/>
    <mergeCell ref="G1260:I1260"/>
    <mergeCell ref="G1261:I1261"/>
    <mergeCell ref="G1262:I1262"/>
    <mergeCell ref="D1412:D1413"/>
    <mergeCell ref="E1412:E1413"/>
    <mergeCell ref="F1412:F1413"/>
    <mergeCell ref="G1402:I1402"/>
    <mergeCell ref="G1403:I1403"/>
    <mergeCell ref="G1404:I1404"/>
    <mergeCell ref="G1409:I1409"/>
    <mergeCell ref="C1119:C1120"/>
    <mergeCell ref="D1119:D1120"/>
    <mergeCell ref="E1119:E1120"/>
    <mergeCell ref="F1119:F1120"/>
    <mergeCell ref="D1290:D1291"/>
    <mergeCell ref="C1406:C1407"/>
    <mergeCell ref="D1406:D1407"/>
    <mergeCell ref="E1406:E1407"/>
    <mergeCell ref="F1406:F1407"/>
    <mergeCell ref="G1248:I1248"/>
    <mergeCell ref="E1185:E1186"/>
    <mergeCell ref="C1266:C1267"/>
    <mergeCell ref="D1266:D1267"/>
    <mergeCell ref="E1266:E1267"/>
    <mergeCell ref="F1266:F1267"/>
    <mergeCell ref="E1257:E1258"/>
    <mergeCell ref="G1282:I1282"/>
    <mergeCell ref="G1416:I1416"/>
    <mergeCell ref="B1305:B1306"/>
    <mergeCell ref="C1305:C1306"/>
    <mergeCell ref="D1305:D1306"/>
    <mergeCell ref="E1305:E1306"/>
    <mergeCell ref="F1305:F1306"/>
    <mergeCell ref="E1323:E1324"/>
    <mergeCell ref="C1396:I1396"/>
    <mergeCell ref="B1412:B1413"/>
    <mergeCell ref="C1412:C1413"/>
    <mergeCell ref="F1257:F1258"/>
    <mergeCell ref="G897:I897"/>
    <mergeCell ref="G1308:I1308"/>
    <mergeCell ref="G1309:I1309"/>
    <mergeCell ref="G1410:I1410"/>
    <mergeCell ref="G1435:I1435"/>
    <mergeCell ref="G1415:I1415"/>
    <mergeCell ref="G1320:I1320"/>
    <mergeCell ref="G1321:I1321"/>
    <mergeCell ref="G1326:I1326"/>
    <mergeCell ref="B1399:B1400"/>
    <mergeCell ref="C1399:C1400"/>
    <mergeCell ref="D1399:D1400"/>
    <mergeCell ref="E1399:E1400"/>
    <mergeCell ref="F1399:F1400"/>
    <mergeCell ref="B1323:B1324"/>
    <mergeCell ref="C1323:C1324"/>
    <mergeCell ref="F1329:F1330"/>
    <mergeCell ref="F1323:F1324"/>
    <mergeCell ref="F1389:F1390"/>
    <mergeCell ref="C1110:I1110"/>
    <mergeCell ref="B1119:B1120"/>
    <mergeCell ref="C1317:C1318"/>
    <mergeCell ref="C1302:I1302"/>
    <mergeCell ref="B1125:B1126"/>
    <mergeCell ref="C1125:C1126"/>
    <mergeCell ref="D1125:D1126"/>
    <mergeCell ref="B865:I865"/>
    <mergeCell ref="G777:I778"/>
    <mergeCell ref="B773:B774"/>
    <mergeCell ref="C773:C774"/>
    <mergeCell ref="D773:D774"/>
    <mergeCell ref="E773:E774"/>
    <mergeCell ref="G755:I755"/>
    <mergeCell ref="B925:B926"/>
    <mergeCell ref="C925:C926"/>
    <mergeCell ref="G1019:I1019"/>
    <mergeCell ref="B904:B905"/>
    <mergeCell ref="C904:C905"/>
    <mergeCell ref="D904:D905"/>
    <mergeCell ref="E904:E905"/>
    <mergeCell ref="F904:F905"/>
    <mergeCell ref="B907:I907"/>
    <mergeCell ref="E952:E953"/>
    <mergeCell ref="G1013:I1013"/>
    <mergeCell ref="G1018:I1018"/>
    <mergeCell ref="G1249:I1249"/>
    <mergeCell ref="G1025:I1025"/>
    <mergeCell ref="C1239:I1239"/>
    <mergeCell ref="G1123:I1123"/>
    <mergeCell ref="C1210:I1210"/>
    <mergeCell ref="G1122:I1122"/>
    <mergeCell ref="E1290:E1291"/>
    <mergeCell ref="F1290:F1291"/>
    <mergeCell ref="B1167:B1168"/>
    <mergeCell ref="C1167:C1168"/>
    <mergeCell ref="E1167:E1168"/>
    <mergeCell ref="G960:I960"/>
    <mergeCell ref="G966:I966"/>
    <mergeCell ref="G1012:I1012"/>
    <mergeCell ref="G1176:I1176"/>
    <mergeCell ref="B1266:B1267"/>
    <mergeCell ref="G1031:I1031"/>
    <mergeCell ref="G1024:I1024"/>
    <mergeCell ref="B1027:B1028"/>
    <mergeCell ref="B1213:B1214"/>
    <mergeCell ref="C1213:C1214"/>
    <mergeCell ref="D1213:D1214"/>
    <mergeCell ref="E1213:E1214"/>
    <mergeCell ref="F1213:F1214"/>
    <mergeCell ref="D1329:D1330"/>
    <mergeCell ref="E1329:E1330"/>
    <mergeCell ref="B1257:B1258"/>
    <mergeCell ref="C1257:C1258"/>
    <mergeCell ref="D1257:D1258"/>
    <mergeCell ref="B1329:B1330"/>
    <mergeCell ref="C1329:C1330"/>
    <mergeCell ref="D1323:D1324"/>
    <mergeCell ref="B1290:B1291"/>
    <mergeCell ref="C1290:C1291"/>
    <mergeCell ref="D1131:D1132"/>
    <mergeCell ref="E1131:E1132"/>
    <mergeCell ref="G1297:I1297"/>
    <mergeCell ref="G1298:I1298"/>
    <mergeCell ref="G1299:I1299"/>
    <mergeCell ref="G1327:I1327"/>
    <mergeCell ref="G1135:I1135"/>
    <mergeCell ref="G1128:I1128"/>
    <mergeCell ref="G1146:I1146"/>
    <mergeCell ref="G1147:I1147"/>
    <mergeCell ref="G1134:I1134"/>
    <mergeCell ref="F1149:F1150"/>
    <mergeCell ref="F764:F765"/>
    <mergeCell ref="F963:F964"/>
    <mergeCell ref="B952:B953"/>
    <mergeCell ref="C952:C953"/>
    <mergeCell ref="D952:D953"/>
    <mergeCell ref="G1030:I1030"/>
    <mergeCell ref="G912:I912"/>
    <mergeCell ref="G923:I923"/>
    <mergeCell ref="G921:I921"/>
    <mergeCell ref="G922:I922"/>
    <mergeCell ref="G950:I950"/>
    <mergeCell ref="F939:F940"/>
    <mergeCell ref="B1149:B1150"/>
    <mergeCell ref="G1129:I1129"/>
    <mergeCell ref="F1131:F1132"/>
    <mergeCell ref="B1009:B1010"/>
    <mergeCell ref="C1009:C1010"/>
    <mergeCell ref="D1009:D1010"/>
    <mergeCell ref="E1009:E1010"/>
    <mergeCell ref="F1009:F1010"/>
    <mergeCell ref="F997:F998"/>
    <mergeCell ref="C997:C998"/>
    <mergeCell ref="G1006:I1006"/>
    <mergeCell ref="G1007:I1007"/>
    <mergeCell ref="D997:D998"/>
    <mergeCell ref="G1000:I1000"/>
    <mergeCell ref="G978:I978"/>
    <mergeCell ref="B980:B981"/>
    <mergeCell ref="C980:C981"/>
    <mergeCell ref="D980:D981"/>
    <mergeCell ref="E980:E981"/>
    <mergeCell ref="F980:F981"/>
    <mergeCell ref="G983:I983"/>
    <mergeCell ref="G984:I985"/>
    <mergeCell ref="E963:E964"/>
    <mergeCell ref="B745:B746"/>
    <mergeCell ref="C745:C746"/>
    <mergeCell ref="G748:I748"/>
    <mergeCell ref="G1152:I1152"/>
    <mergeCell ref="G779:I779"/>
    <mergeCell ref="B764:B765"/>
    <mergeCell ref="C764:C765"/>
    <mergeCell ref="G776:I776"/>
    <mergeCell ref="G929:I929"/>
    <mergeCell ref="G930:I930"/>
    <mergeCell ref="E745:E746"/>
    <mergeCell ref="F745:F746"/>
    <mergeCell ref="C1149:C1150"/>
    <mergeCell ref="D1149:D1150"/>
    <mergeCell ref="E1149:E1150"/>
    <mergeCell ref="D963:D964"/>
    <mergeCell ref="D939:D940"/>
    <mergeCell ref="E939:E940"/>
    <mergeCell ref="G749:I749"/>
    <mergeCell ref="D932:D933"/>
    <mergeCell ref="E932:E933"/>
    <mergeCell ref="F932:F933"/>
    <mergeCell ref="G935:I935"/>
    <mergeCell ref="G944:I944"/>
    <mergeCell ref="B946:B947"/>
    <mergeCell ref="C946:C947"/>
    <mergeCell ref="D946:D947"/>
    <mergeCell ref="E946:E947"/>
    <mergeCell ref="F946:F947"/>
    <mergeCell ref="F952:F953"/>
    <mergeCell ref="B963:B964"/>
    <mergeCell ref="G967:I967"/>
    <mergeCell ref="G971:I971"/>
    <mergeCell ref="B973:B974"/>
    <mergeCell ref="C973:C974"/>
    <mergeCell ref="D973:D974"/>
    <mergeCell ref="E973:E974"/>
    <mergeCell ref="F973:F974"/>
    <mergeCell ref="G976:I976"/>
    <mergeCell ref="G977:I977"/>
    <mergeCell ref="B668:B669"/>
    <mergeCell ref="C668:C669"/>
    <mergeCell ref="D668:D669"/>
    <mergeCell ref="E668:E669"/>
    <mergeCell ref="F668:F669"/>
    <mergeCell ref="G671:I671"/>
    <mergeCell ref="G672:I672"/>
    <mergeCell ref="G673:I673"/>
    <mergeCell ref="G1195:I1195"/>
    <mergeCell ref="G1170:I1170"/>
    <mergeCell ref="G1171:I1171"/>
    <mergeCell ref="G1182:I1182"/>
    <mergeCell ref="G1158:I1158"/>
    <mergeCell ref="G1188:I1188"/>
    <mergeCell ref="G1189:I1189"/>
    <mergeCell ref="G1159:I1159"/>
    <mergeCell ref="F1179:F1180"/>
    <mergeCell ref="G1164:I1164"/>
    <mergeCell ref="G1165:I1165"/>
    <mergeCell ref="G1177:I1177"/>
    <mergeCell ref="G1153:I1153"/>
    <mergeCell ref="G1194:I1194"/>
    <mergeCell ref="C1191:C1192"/>
    <mergeCell ref="D1167:D1168"/>
    <mergeCell ref="B1179:B1180"/>
    <mergeCell ref="C1179:C1180"/>
    <mergeCell ref="D1179:D1180"/>
    <mergeCell ref="E1179:E1180"/>
    <mergeCell ref="B1191:B1192"/>
    <mergeCell ref="B1185:B1186"/>
    <mergeCell ref="C1185:C1186"/>
    <mergeCell ref="B729:B730"/>
    <mergeCell ref="G1234:I1234"/>
    <mergeCell ref="G1235:I1235"/>
    <mergeCell ref="G1236:I1236"/>
    <mergeCell ref="C1227:I1227"/>
    <mergeCell ref="F1230:F1231"/>
    <mergeCell ref="G1246:I1246"/>
    <mergeCell ref="D1191:D1192"/>
    <mergeCell ref="E1191:E1192"/>
    <mergeCell ref="F1191:F1192"/>
    <mergeCell ref="F1167:F1168"/>
    <mergeCell ref="C1161:C1162"/>
    <mergeCell ref="D1161:D1162"/>
    <mergeCell ref="G1223:I1223"/>
    <mergeCell ref="D1242:D1243"/>
    <mergeCell ref="E1242:E1243"/>
    <mergeCell ref="G1224:I1224"/>
    <mergeCell ref="G1206:I1206"/>
    <mergeCell ref="G1207:I1207"/>
    <mergeCell ref="G1216:I1216"/>
    <mergeCell ref="G1217:I1217"/>
    <mergeCell ref="D1230:D1231"/>
    <mergeCell ref="E1230:E1231"/>
    <mergeCell ref="D1203:D1204"/>
    <mergeCell ref="E1203:E1204"/>
    <mergeCell ref="F1203:F1204"/>
    <mergeCell ref="F1185:F1186"/>
    <mergeCell ref="G1183:I1183"/>
    <mergeCell ref="F1173:F1174"/>
    <mergeCell ref="B710:B711"/>
    <mergeCell ref="C710:C711"/>
    <mergeCell ref="F729:F730"/>
    <mergeCell ref="B751:B752"/>
    <mergeCell ref="C751:C752"/>
    <mergeCell ref="D751:D752"/>
    <mergeCell ref="E751:E752"/>
    <mergeCell ref="F751:F752"/>
    <mergeCell ref="D745:D746"/>
    <mergeCell ref="C718:C719"/>
    <mergeCell ref="B681:B682"/>
    <mergeCell ref="C681:C682"/>
    <mergeCell ref="D681:D682"/>
    <mergeCell ref="E681:E682"/>
    <mergeCell ref="F681:F682"/>
    <mergeCell ref="G684:I684"/>
    <mergeCell ref="E710:E711"/>
    <mergeCell ref="F710:F711"/>
    <mergeCell ref="G707:I707"/>
    <mergeCell ref="G708:I708"/>
    <mergeCell ref="G721:I721"/>
    <mergeCell ref="G722:I722"/>
    <mergeCell ref="G715:I715"/>
    <mergeCell ref="B687:B688"/>
    <mergeCell ref="C687:C688"/>
    <mergeCell ref="D687:D688"/>
    <mergeCell ref="B739:B740"/>
    <mergeCell ref="C739:C740"/>
    <mergeCell ref="D739:D740"/>
    <mergeCell ref="E739:E740"/>
    <mergeCell ref="F739:F740"/>
    <mergeCell ref="G742:I742"/>
    <mergeCell ref="B1418:B1419"/>
    <mergeCell ref="C1418:C1419"/>
    <mergeCell ref="D1418:D1419"/>
    <mergeCell ref="E1418:E1419"/>
    <mergeCell ref="F1418:F1419"/>
    <mergeCell ref="B1317:B1318"/>
    <mergeCell ref="C1341:C1342"/>
    <mergeCell ref="D1341:D1342"/>
    <mergeCell ref="E1341:E1342"/>
    <mergeCell ref="F1341:F1342"/>
    <mergeCell ref="G1422:I1422"/>
    <mergeCell ref="G1423:I1423"/>
    <mergeCell ref="B1311:B1312"/>
    <mergeCell ref="C1311:C1312"/>
    <mergeCell ref="D1311:D1312"/>
    <mergeCell ref="E1311:E1312"/>
    <mergeCell ref="F1311:F1312"/>
    <mergeCell ref="G1314:I1314"/>
    <mergeCell ref="B1341:B1342"/>
    <mergeCell ref="B1406:B1407"/>
    <mergeCell ref="G1363:I1363"/>
    <mergeCell ref="B1365:B1366"/>
    <mergeCell ref="C1365:C1366"/>
    <mergeCell ref="D1365:D1366"/>
    <mergeCell ref="E1365:E1366"/>
    <mergeCell ref="F1365:F1366"/>
    <mergeCell ref="G1368:I1368"/>
    <mergeCell ref="G1369:I1369"/>
    <mergeCell ref="B1371:B1372"/>
    <mergeCell ref="C1371:C1372"/>
    <mergeCell ref="D1371:D1372"/>
    <mergeCell ref="E1371:E1372"/>
    <mergeCell ref="G1434:I1434"/>
    <mergeCell ref="G1332:I1332"/>
    <mergeCell ref="G1333:I1333"/>
    <mergeCell ref="B1335:B1336"/>
    <mergeCell ref="C1335:C1336"/>
    <mergeCell ref="D1335:D1336"/>
    <mergeCell ref="E1335:E1336"/>
    <mergeCell ref="F1335:F1336"/>
    <mergeCell ref="G1338:I1338"/>
    <mergeCell ref="G1339:I1339"/>
    <mergeCell ref="G1344:I1344"/>
    <mergeCell ref="G1345:I1345"/>
    <mergeCell ref="B1347:B1348"/>
    <mergeCell ref="C1347:C1348"/>
    <mergeCell ref="D1347:D1348"/>
    <mergeCell ref="E1347:E1348"/>
    <mergeCell ref="F1347:F1348"/>
    <mergeCell ref="G1350:I1350"/>
    <mergeCell ref="G1351:I1351"/>
    <mergeCell ref="B1353:B1354"/>
    <mergeCell ref="C1353:C1354"/>
    <mergeCell ref="D1353:D1354"/>
    <mergeCell ref="E1353:E1354"/>
    <mergeCell ref="F1353:F1354"/>
    <mergeCell ref="G1356:I1356"/>
    <mergeCell ref="G1357:I1357"/>
    <mergeCell ref="B1359:B1360"/>
    <mergeCell ref="C1359:C1360"/>
    <mergeCell ref="D1359:D1360"/>
    <mergeCell ref="E1359:E1360"/>
    <mergeCell ref="F1359:F1360"/>
    <mergeCell ref="G1362:I1362"/>
    <mergeCell ref="F1371:F1372"/>
    <mergeCell ref="G1375:I1375"/>
    <mergeCell ref="B1377:B1378"/>
    <mergeCell ref="C1377:C1378"/>
    <mergeCell ref="D1377:D1378"/>
    <mergeCell ref="E1377:E1378"/>
    <mergeCell ref="F1377:F1378"/>
    <mergeCell ref="E1161:E1162"/>
    <mergeCell ref="F1161:F1162"/>
    <mergeCell ref="G1386:I1386"/>
    <mergeCell ref="B1383:B1384"/>
    <mergeCell ref="C1383:C1384"/>
    <mergeCell ref="D1383:D1384"/>
    <mergeCell ref="E1383:E1384"/>
    <mergeCell ref="G1315:I1315"/>
    <mergeCell ref="B1220:B1221"/>
    <mergeCell ref="C1220:C1221"/>
    <mergeCell ref="B1242:B1243"/>
    <mergeCell ref="E1317:E1318"/>
    <mergeCell ref="C1230:C1231"/>
    <mergeCell ref="B1233:I1233"/>
    <mergeCell ref="G1251:I1251"/>
    <mergeCell ref="G1250:I1250"/>
    <mergeCell ref="G1247:I1247"/>
    <mergeCell ref="B1161:B1162"/>
    <mergeCell ref="G1201:I1201"/>
    <mergeCell ref="B1197:B1198"/>
    <mergeCell ref="C1197:C1198"/>
    <mergeCell ref="D1197:D1198"/>
    <mergeCell ref="E1197:E1198"/>
    <mergeCell ref="F1197:F1198"/>
    <mergeCell ref="G1200:I1200"/>
    <mergeCell ref="B1431:B1432"/>
    <mergeCell ref="C1431:C1432"/>
    <mergeCell ref="D1431:D1432"/>
    <mergeCell ref="E1431:E1432"/>
    <mergeCell ref="F1431:F1432"/>
    <mergeCell ref="B1389:B1390"/>
    <mergeCell ref="C1389:C1390"/>
    <mergeCell ref="D1389:D1390"/>
    <mergeCell ref="E1389:E1390"/>
    <mergeCell ref="B1421:I1421"/>
    <mergeCell ref="F1155:F1156"/>
    <mergeCell ref="G958:I958"/>
    <mergeCell ref="G968:I968"/>
    <mergeCell ref="G969:I969"/>
    <mergeCell ref="G970:I970"/>
    <mergeCell ref="G1387:I1387"/>
    <mergeCell ref="G1380:I1380"/>
    <mergeCell ref="G1381:I1381"/>
    <mergeCell ref="F1383:F1384"/>
    <mergeCell ref="G1374:I1374"/>
    <mergeCell ref="C1242:C1243"/>
    <mergeCell ref="G962:I962"/>
    <mergeCell ref="B1155:B1156"/>
    <mergeCell ref="C1155:C1156"/>
    <mergeCell ref="D1155:D1156"/>
    <mergeCell ref="E1155:E1156"/>
    <mergeCell ref="F1242:F1243"/>
    <mergeCell ref="F1317:F1318"/>
    <mergeCell ref="D1317:D1318"/>
    <mergeCell ref="D1220:D1221"/>
    <mergeCell ref="E1220:E1221"/>
    <mergeCell ref="F1220:F1221"/>
    <mergeCell ref="F659:F660"/>
    <mergeCell ref="G957:I957"/>
    <mergeCell ref="F704:F705"/>
    <mergeCell ref="E687:E688"/>
    <mergeCell ref="F687:F688"/>
    <mergeCell ref="G690:I690"/>
    <mergeCell ref="E729:E730"/>
    <mergeCell ref="G732:I732"/>
    <mergeCell ref="B659:B660"/>
    <mergeCell ref="G771:I771"/>
    <mergeCell ref="G853:I853"/>
    <mergeCell ref="G961:I961"/>
    <mergeCell ref="G955:I955"/>
    <mergeCell ref="G949:I949"/>
    <mergeCell ref="G943:I943"/>
    <mergeCell ref="G959:I959"/>
    <mergeCell ref="C659:C660"/>
    <mergeCell ref="G756:I756"/>
    <mergeCell ref="G663:I663"/>
    <mergeCell ref="G664:I664"/>
    <mergeCell ref="G665:I665"/>
    <mergeCell ref="G666:I666"/>
    <mergeCell ref="G828:I828"/>
    <mergeCell ref="G685:I685"/>
    <mergeCell ref="G743:I743"/>
    <mergeCell ref="G691:I691"/>
    <mergeCell ref="G723:I723"/>
    <mergeCell ref="G733:I733"/>
    <mergeCell ref="G936:I936"/>
    <mergeCell ref="G937:I937"/>
    <mergeCell ref="B932:B933"/>
    <mergeCell ref="C932:C933"/>
    <mergeCell ref="G1392:I1392"/>
    <mergeCell ref="G1393:I1393"/>
    <mergeCell ref="B251:I251"/>
    <mergeCell ref="H252:I252"/>
    <mergeCell ref="B259:B260"/>
    <mergeCell ref="C259:C260"/>
    <mergeCell ref="D259:D260"/>
    <mergeCell ref="E259:E260"/>
    <mergeCell ref="F259:G260"/>
    <mergeCell ref="F261:G261"/>
    <mergeCell ref="H262:I262"/>
    <mergeCell ref="B265:B266"/>
    <mergeCell ref="C265:C266"/>
    <mergeCell ref="D265:D266"/>
    <mergeCell ref="E265:E266"/>
    <mergeCell ref="F265:G266"/>
    <mergeCell ref="H268:I268"/>
    <mergeCell ref="H263:I263"/>
    <mergeCell ref="B277:B278"/>
    <mergeCell ref="C277:C278"/>
    <mergeCell ref="D277:D278"/>
    <mergeCell ref="E277:E278"/>
    <mergeCell ref="F277:G278"/>
    <mergeCell ref="F267:G267"/>
    <mergeCell ref="B271:B272"/>
    <mergeCell ref="C271:C272"/>
    <mergeCell ref="D271:D272"/>
    <mergeCell ref="E271:E272"/>
    <mergeCell ref="E283:E284"/>
    <mergeCell ref="F283:G284"/>
    <mergeCell ref="F285:G285"/>
    <mergeCell ref="G323:I323"/>
    <mergeCell ref="H287:I287"/>
    <mergeCell ref="G326:I327"/>
    <mergeCell ref="F279:G279"/>
    <mergeCell ref="H281:I281"/>
    <mergeCell ref="B324:I324"/>
    <mergeCell ref="G318:I318"/>
    <mergeCell ref="G328:I329"/>
    <mergeCell ref="G340:I341"/>
    <mergeCell ref="G330:I339"/>
    <mergeCell ref="E450:E451"/>
    <mergeCell ref="B438:B439"/>
    <mergeCell ref="C438:C439"/>
    <mergeCell ref="D438:D439"/>
    <mergeCell ref="H427:I429"/>
    <mergeCell ref="H448:I448"/>
    <mergeCell ref="B450:B451"/>
    <mergeCell ref="C450:C451"/>
    <mergeCell ref="D450:D451"/>
    <mergeCell ref="B283:B284"/>
    <mergeCell ref="C283:C284"/>
    <mergeCell ref="D283:D284"/>
    <mergeCell ref="E438:E439"/>
    <mergeCell ref="D343:D344"/>
    <mergeCell ref="E343:E344"/>
    <mergeCell ref="F444:G445"/>
    <mergeCell ref="F438:G439"/>
    <mergeCell ref="H447:I447"/>
    <mergeCell ref="G317:I317"/>
    <mergeCell ref="H418:I426"/>
    <mergeCell ref="B309:I309"/>
    <mergeCell ref="B319:I319"/>
    <mergeCell ref="G321:I321"/>
  </mergeCells>
  <pageMargins left="0.51181102362204722" right="0.51181102362204722" top="0.78740157480314965" bottom="0.78740157480314965" header="0.31496062992125984" footer="0.31496062992125984"/>
  <pageSetup paperSize="9" scale="65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Resumo</vt:lpstr>
      <vt:lpstr>Cronograma</vt:lpstr>
      <vt:lpstr>Orçamento Sintético</vt:lpstr>
      <vt:lpstr>Memória</vt:lpstr>
      <vt:lpstr>Cronograma!Area_de_impressao</vt:lpstr>
      <vt:lpstr>Memória!Area_de_impressao</vt:lpstr>
      <vt:lpstr>'Orçamento Sintético'!Area_de_impressao</vt:lpstr>
      <vt:lpstr>Cronograma!Titulos_de_impressao</vt:lpstr>
      <vt:lpstr>'Orçamento Resumo'!Titulos_de_impressao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IFPB</cp:lastModifiedBy>
  <cp:lastPrinted>2017-07-26T11:51:55Z</cp:lastPrinted>
  <dcterms:created xsi:type="dcterms:W3CDTF">2007-09-28T23:20:37Z</dcterms:created>
  <dcterms:modified xsi:type="dcterms:W3CDTF">2017-09-25T14:13:12Z</dcterms:modified>
</cp:coreProperties>
</file>